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50" windowWidth="15480" windowHeight="9180" tabRatio="903"/>
  </bookViews>
  <sheets>
    <sheet name="Overall" sheetId="5" r:id="rId1"/>
    <sheet name="Experience" sheetId="88" r:id="rId2"/>
    <sheet name="House Rules" sheetId="84" r:id="rId3"/>
    <sheet name="Kingdom" sheetId="4" r:id="rId4"/>
    <sheet name="City Summary" sheetId="34" r:id="rId5"/>
    <sheet name="Army Summary" sheetId="62" state="hidden" r:id="rId6"/>
    <sheet name="Event Generator" sheetId="72" state="hidden" r:id="rId7"/>
    <sheet name="Drop Down" sheetId="6" state="hidden" r:id="rId8"/>
    <sheet name="City Overview" sheetId="19" state="hidden" r:id="rId9"/>
    <sheet name="NEW EVENTS" sheetId="78" state="hidden" r:id="rId10"/>
    <sheet name="City Map 1" sheetId="73" r:id="rId11"/>
    <sheet name="City 1" sheetId="35" r:id="rId12"/>
    <sheet name="City 2" sheetId="36" r:id="rId13"/>
    <sheet name="City Map 2" sheetId="80" r:id="rId14"/>
    <sheet name="City 3" sheetId="37" r:id="rId15"/>
    <sheet name="City Map 3" sheetId="86" r:id="rId16"/>
    <sheet name="City 4" sheetId="38" r:id="rId17"/>
    <sheet name="City Map 4" sheetId="85" r:id="rId18"/>
    <sheet name="City 5" sheetId="39" r:id="rId19"/>
    <sheet name="City 6" sheetId="40" state="hidden" r:id="rId20"/>
    <sheet name="City 7" sheetId="41" state="hidden" r:id="rId21"/>
    <sheet name="City 8" sheetId="42" state="hidden" r:id="rId22"/>
    <sheet name="City 9" sheetId="43" state="hidden" r:id="rId23"/>
    <sheet name="City 10" sheetId="44" state="hidden" r:id="rId24"/>
    <sheet name="City 11" sheetId="45" state="hidden" r:id="rId25"/>
    <sheet name="City 12" sheetId="46" state="hidden" r:id="rId26"/>
    <sheet name="City 13" sheetId="47" state="hidden" r:id="rId27"/>
    <sheet name="City 14" sheetId="48" state="hidden" r:id="rId28"/>
    <sheet name="City 15" sheetId="49" state="hidden" r:id="rId29"/>
    <sheet name="City 16" sheetId="50" state="hidden" r:id="rId30"/>
    <sheet name="City 17" sheetId="51" state="hidden" r:id="rId31"/>
    <sheet name="City 18" sheetId="52" state="hidden" r:id="rId32"/>
    <sheet name="City 19" sheetId="53" state="hidden" r:id="rId33"/>
    <sheet name="City 20" sheetId="54" state="hidden" r:id="rId34"/>
    <sheet name="City 21" sheetId="55" state="hidden" r:id="rId35"/>
    <sheet name="City 22" sheetId="56" state="hidden" r:id="rId36"/>
    <sheet name="City 23" sheetId="57" state="hidden" r:id="rId37"/>
    <sheet name="City 24" sheetId="58" state="hidden" r:id="rId38"/>
    <sheet name="City 25" sheetId="59" state="hidden" r:id="rId39"/>
    <sheet name="Army 1" sheetId="61" state="hidden" r:id="rId40"/>
    <sheet name="Army 2" sheetId="63" state="hidden" r:id="rId41"/>
    <sheet name="Army 3" sheetId="64" state="hidden" r:id="rId42"/>
    <sheet name="Army 4" sheetId="65" state="hidden" r:id="rId43"/>
    <sheet name="Army 5" sheetId="66" state="hidden" r:id="rId44"/>
    <sheet name="Army 6" sheetId="67" state="hidden" r:id="rId45"/>
    <sheet name="Army 7" sheetId="68" state="hidden" r:id="rId46"/>
    <sheet name="Army 8" sheetId="70" state="hidden" r:id="rId47"/>
    <sheet name="Army 9" sheetId="69" state="hidden" r:id="rId48"/>
    <sheet name="City Map 5" sheetId="87" r:id="rId49"/>
    <sheet name="City Map Template" sheetId="81" r:id="rId50"/>
    <sheet name="Event Generator (OLD)" sheetId="71" state="hidden" r:id="rId51"/>
    <sheet name="Weather Generator" sheetId="82" state="hidden" r:id="rId52"/>
    <sheet name="Instructions (Draft)" sheetId="83" r:id="rId53"/>
    <sheet name="Version" sheetId="60" r:id="rId54"/>
  </sheets>
  <definedNames>
    <definedName name="Abilities">'Drop Down'!$E$59:$E$75</definedName>
    <definedName name="Active">'Drop Down'!$K$9:$K$10</definedName>
    <definedName name="AL">'Drop Down'!$E$30:$E$38</definedName>
    <definedName name="Alignment">'Drop Down'!$E$2:$E$7</definedName>
    <definedName name="Attributes">'Drop Down'!$A$2:$A$4</definedName>
    <definedName name="CHA">'Drop Down'!$K$51:$K$65</definedName>
    <definedName name="CR">'Drop Down'!$K$30:$K$48</definedName>
    <definedName name="Events">'Drop Down'!$C$2:$C$20</definedName>
    <definedName name="Festivals">'Drop Down'!$K$2:$K$6</definedName>
    <definedName name="HD">'Drop Down'!$G$30:$G$34</definedName>
    <definedName name="Months_Year">'Drop Down'!$E$11:$E$22</definedName>
    <definedName name="Morale">'Drop Down'!$K$68:$K$76</definedName>
    <definedName name="_xlnm.Print_Area" localSheetId="5">'Army Summary'!$A$1:$AG$48</definedName>
    <definedName name="_xlnm.Print_Area" localSheetId="11">'City 1'!$A$1:$AU$72</definedName>
    <definedName name="_xlnm.Print_Area" localSheetId="23">'City 10'!#REF!</definedName>
    <definedName name="_xlnm.Print_Area" localSheetId="24">'City 11'!#REF!</definedName>
    <definedName name="_xlnm.Print_Area" localSheetId="25">'City 12'!#REF!</definedName>
    <definedName name="_xlnm.Print_Area" localSheetId="26">'City 13'!#REF!</definedName>
    <definedName name="_xlnm.Print_Area" localSheetId="27">'City 14'!#REF!</definedName>
    <definedName name="_xlnm.Print_Area" localSheetId="28">'City 15'!#REF!</definedName>
    <definedName name="_xlnm.Print_Area" localSheetId="29">'City 16'!#REF!</definedName>
    <definedName name="_xlnm.Print_Area" localSheetId="30">'City 17'!#REF!</definedName>
    <definedName name="_xlnm.Print_Area" localSheetId="31">'City 18'!#REF!</definedName>
    <definedName name="_xlnm.Print_Area" localSheetId="32">'City 19'!#REF!</definedName>
    <definedName name="_xlnm.Print_Area" localSheetId="33">'City 20'!#REF!</definedName>
    <definedName name="_xlnm.Print_Area" localSheetId="34">'City 21'!#REF!</definedName>
    <definedName name="_xlnm.Print_Area" localSheetId="35">'City 22'!#REF!</definedName>
    <definedName name="_xlnm.Print_Area" localSheetId="36">'City 23'!#REF!</definedName>
    <definedName name="_xlnm.Print_Area" localSheetId="37">'City 24'!#REF!</definedName>
    <definedName name="_xlnm.Print_Area" localSheetId="38">'City 25'!#REF!</definedName>
    <definedName name="_xlnm.Print_Area" localSheetId="14">'City 3'!#REF!</definedName>
    <definedName name="_xlnm.Print_Area" localSheetId="16">'City 4'!#REF!</definedName>
    <definedName name="_xlnm.Print_Area" localSheetId="18">'City 5'!#REF!</definedName>
    <definedName name="_xlnm.Print_Area" localSheetId="19">'City 6'!#REF!</definedName>
    <definedName name="_xlnm.Print_Area" localSheetId="20">'City 7'!#REF!</definedName>
    <definedName name="_xlnm.Print_Area" localSheetId="21">'City 8'!#REF!</definedName>
    <definedName name="_xlnm.Print_Area" localSheetId="22">'City 9'!#REF!</definedName>
    <definedName name="_xlnm.Print_Area" localSheetId="10">'City Map 1'!$AF$34:$AQ$45</definedName>
    <definedName name="_xlnm.Print_Area" localSheetId="13">'City Map 2'!$AF$34:$AQ$45</definedName>
    <definedName name="_xlnm.Print_Area" localSheetId="15">'City Map 3'!$AF$34:$AQ$45</definedName>
    <definedName name="_xlnm.Print_Area" localSheetId="17">'City Map 4'!$AF$34:$AQ$45</definedName>
    <definedName name="_xlnm.Print_Area" localSheetId="48">'City Map 5'!$AF$34:$AQ$45</definedName>
    <definedName name="_xlnm.Print_Area" localSheetId="49">'City Map Template'!$AF$34:$AQ$45</definedName>
    <definedName name="Promotion">'Drop Down'!$G$2:$G$6</definedName>
    <definedName name="Resources">'Drop Down'!$E$41:$E$53</definedName>
    <definedName name="Seasons">'Weather Generator'!$M$20:$M$23</definedName>
    <definedName name="Size">'Drop Down'!$C$30:$C$38</definedName>
    <definedName name="Tactics">'Drop Down'!$C$40:$C$52</definedName>
    <definedName name="Taxation">'Drop Down'!$I$2:$I$6</definedName>
  </definedNames>
  <calcPr calcId="145621"/>
</workbook>
</file>

<file path=xl/calcChain.xml><?xml version="1.0" encoding="utf-8"?>
<calcChain xmlns="http://schemas.openxmlformats.org/spreadsheetml/2006/main">
  <c r="D2" i="72" l="1"/>
  <c r="D1" i="72"/>
  <c r="A15" i="72"/>
  <c r="A16" i="72"/>
  <c r="A17" i="72"/>
  <c r="A18" i="72"/>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93" i="72" s="1"/>
  <c r="A14" i="72"/>
  <c r="C92" i="72"/>
  <c r="C88" i="72"/>
  <c r="C81" i="72"/>
  <c r="C78" i="72"/>
  <c r="X6" i="5" l="1"/>
  <c r="BB65" i="59"/>
  <c r="BF64" i="59"/>
  <c r="BE64" i="59"/>
  <c r="BD64" i="59"/>
  <c r="BC64" i="59"/>
  <c r="BB64" i="59"/>
  <c r="BA64" i="59"/>
  <c r="AZ64" i="59"/>
  <c r="AY64" i="59"/>
  <c r="AX64" i="59"/>
  <c r="AW64" i="59"/>
  <c r="BB63" i="59"/>
  <c r="BF62" i="59"/>
  <c r="BE62" i="59"/>
  <c r="BD62" i="59"/>
  <c r="BC62" i="59"/>
  <c r="BB62" i="59"/>
  <c r="BA62" i="59"/>
  <c r="AZ62" i="59"/>
  <c r="AY62" i="59"/>
  <c r="AX62" i="59"/>
  <c r="AW62" i="59"/>
  <c r="BB61" i="59"/>
  <c r="BF60" i="59"/>
  <c r="BE60" i="59"/>
  <c r="BD60" i="59"/>
  <c r="BC60" i="59"/>
  <c r="BB60" i="59"/>
  <c r="BA60" i="59"/>
  <c r="AZ60" i="59"/>
  <c r="AY60" i="59"/>
  <c r="AX60" i="59"/>
  <c r="AW60" i="59"/>
  <c r="BB59" i="59"/>
  <c r="BF58" i="59"/>
  <c r="BE58" i="59"/>
  <c r="BD58" i="59"/>
  <c r="BC58" i="59"/>
  <c r="BB58" i="59"/>
  <c r="BA58" i="59"/>
  <c r="AZ58" i="59"/>
  <c r="AY58" i="59"/>
  <c r="AX58" i="59"/>
  <c r="AW58" i="59"/>
  <c r="BB57" i="59"/>
  <c r="BF56" i="59"/>
  <c r="BE56" i="59"/>
  <c r="BD56" i="59"/>
  <c r="BC56" i="59"/>
  <c r="BB56" i="59"/>
  <c r="BA56" i="59"/>
  <c r="AZ56" i="59"/>
  <c r="AY56" i="59"/>
  <c r="AX56" i="59"/>
  <c r="AW56" i="59"/>
  <c r="BB55" i="59"/>
  <c r="BF54" i="59"/>
  <c r="BE54" i="59"/>
  <c r="BD54" i="59"/>
  <c r="BC54" i="59"/>
  <c r="BB54" i="59"/>
  <c r="BA54" i="59"/>
  <c r="AZ54" i="59"/>
  <c r="AY54" i="59"/>
  <c r="AX54" i="59"/>
  <c r="AW54" i="59"/>
  <c r="BB53" i="59"/>
  <c r="BB49" i="59"/>
  <c r="BF48" i="59"/>
  <c r="BE48" i="59"/>
  <c r="BD48" i="59"/>
  <c r="BC48" i="59"/>
  <c r="BB48" i="59"/>
  <c r="BA48" i="59"/>
  <c r="AZ48" i="59"/>
  <c r="AY48" i="59"/>
  <c r="AX48" i="59"/>
  <c r="AW48" i="59"/>
  <c r="BB47" i="59"/>
  <c r="BF46" i="59"/>
  <c r="BE46" i="59"/>
  <c r="BD46" i="59"/>
  <c r="BC46" i="59"/>
  <c r="BB46" i="59"/>
  <c r="BA46" i="59"/>
  <c r="AZ46" i="59"/>
  <c r="AY46" i="59"/>
  <c r="AX46" i="59"/>
  <c r="AW46" i="59"/>
  <c r="BB45" i="59"/>
  <c r="BF44" i="59"/>
  <c r="BE44" i="59"/>
  <c r="BD44" i="59"/>
  <c r="BC44" i="59"/>
  <c r="BB44" i="59"/>
  <c r="BA44" i="59"/>
  <c r="AZ44" i="59"/>
  <c r="AY44" i="59"/>
  <c r="AX44" i="59"/>
  <c r="AW44" i="59"/>
  <c r="BB43" i="59"/>
  <c r="BF42" i="59"/>
  <c r="BE42" i="59"/>
  <c r="BD42" i="59"/>
  <c r="BC42" i="59"/>
  <c r="BB42" i="59"/>
  <c r="BA42" i="59"/>
  <c r="AZ42" i="59"/>
  <c r="AY42" i="59"/>
  <c r="AX42" i="59"/>
  <c r="AW42" i="59"/>
  <c r="BB41" i="59"/>
  <c r="BB39" i="59"/>
  <c r="BF38" i="59"/>
  <c r="BE38" i="59"/>
  <c r="BD38" i="59"/>
  <c r="BC38" i="59"/>
  <c r="BB38" i="59"/>
  <c r="BA38" i="59"/>
  <c r="AZ38" i="59"/>
  <c r="AY38" i="59"/>
  <c r="AX38" i="59"/>
  <c r="AW38" i="59"/>
  <c r="BB37" i="59"/>
  <c r="BF36" i="59"/>
  <c r="BE36" i="59"/>
  <c r="BD36" i="59"/>
  <c r="BC36" i="59"/>
  <c r="BB36" i="59"/>
  <c r="BA36" i="59"/>
  <c r="AZ36" i="59"/>
  <c r="AY36" i="59"/>
  <c r="AX36" i="59"/>
  <c r="AW36" i="59"/>
  <c r="BB35" i="59"/>
  <c r="BF34" i="59"/>
  <c r="BE34" i="59"/>
  <c r="BD34" i="59"/>
  <c r="BC34" i="59"/>
  <c r="BB34" i="59"/>
  <c r="BA34" i="59"/>
  <c r="AZ34" i="59"/>
  <c r="AY34" i="59"/>
  <c r="AX34" i="59"/>
  <c r="AW34" i="59"/>
  <c r="BB33" i="59"/>
  <c r="BF32" i="59"/>
  <c r="BE32" i="59"/>
  <c r="BD32" i="59"/>
  <c r="BC32" i="59"/>
  <c r="BB32" i="59"/>
  <c r="BA32" i="59"/>
  <c r="AZ32" i="59"/>
  <c r="AY32" i="59"/>
  <c r="AX32" i="59"/>
  <c r="AW32" i="59"/>
  <c r="BB31" i="59"/>
  <c r="BF30" i="59"/>
  <c r="BE30" i="59"/>
  <c r="BD30" i="59"/>
  <c r="BC30" i="59"/>
  <c r="BB30" i="59"/>
  <c r="BA30" i="59"/>
  <c r="AZ30" i="59"/>
  <c r="AY30" i="59"/>
  <c r="AX30" i="59"/>
  <c r="AW30" i="59"/>
  <c r="BB29" i="59"/>
  <c r="BF28" i="59"/>
  <c r="BE28" i="59"/>
  <c r="BD28" i="59"/>
  <c r="BC28" i="59"/>
  <c r="BB28" i="59"/>
  <c r="BA28" i="59"/>
  <c r="AZ28" i="59"/>
  <c r="AY28" i="59"/>
  <c r="AX28" i="59"/>
  <c r="AW28" i="59"/>
  <c r="BB27" i="59"/>
  <c r="BF26" i="59"/>
  <c r="BE26" i="59"/>
  <c r="BD26" i="59"/>
  <c r="BC26" i="59"/>
  <c r="BB26" i="59"/>
  <c r="BA26" i="59"/>
  <c r="AZ26" i="59"/>
  <c r="AY26" i="59"/>
  <c r="AX26" i="59"/>
  <c r="AW26" i="59"/>
  <c r="BB25" i="59"/>
  <c r="BF24" i="59"/>
  <c r="BE24" i="59"/>
  <c r="BD24" i="59"/>
  <c r="BC24" i="59"/>
  <c r="BB24" i="59"/>
  <c r="BA24" i="59"/>
  <c r="AZ24" i="59"/>
  <c r="AY24" i="59"/>
  <c r="AX24" i="59"/>
  <c r="AW24" i="59"/>
  <c r="BB23" i="59"/>
  <c r="BF22" i="59"/>
  <c r="BE22" i="59"/>
  <c r="BD22" i="59"/>
  <c r="BC22" i="59"/>
  <c r="BB22" i="59"/>
  <c r="BA22" i="59"/>
  <c r="AZ22" i="59"/>
  <c r="AY22" i="59"/>
  <c r="AX22" i="59"/>
  <c r="AW22" i="59"/>
  <c r="BB21" i="59"/>
  <c r="BF20" i="59"/>
  <c r="BE20" i="59"/>
  <c r="BD20" i="59"/>
  <c r="BC20" i="59"/>
  <c r="BB20" i="59"/>
  <c r="BA20" i="59"/>
  <c r="AZ20" i="59"/>
  <c r="AY20" i="59"/>
  <c r="AX20" i="59"/>
  <c r="AW20" i="59"/>
  <c r="BB19" i="59"/>
  <c r="BF18" i="59"/>
  <c r="BE18" i="59"/>
  <c r="BD18" i="59"/>
  <c r="BC18" i="59"/>
  <c r="BB18" i="59"/>
  <c r="BA18" i="59"/>
  <c r="AZ18" i="59"/>
  <c r="AY18" i="59"/>
  <c r="AX18" i="59"/>
  <c r="AW18" i="59"/>
  <c r="BB17" i="59"/>
  <c r="BF16" i="59"/>
  <c r="BE16" i="59"/>
  <c r="BD16" i="59"/>
  <c r="BC16" i="59"/>
  <c r="BB16" i="59"/>
  <c r="BA16" i="59"/>
  <c r="AZ16" i="59"/>
  <c r="AY16" i="59"/>
  <c r="AX16" i="59"/>
  <c r="AW16" i="59"/>
  <c r="BB15" i="59"/>
  <c r="BF14" i="59"/>
  <c r="BE14" i="59"/>
  <c r="BD14" i="59"/>
  <c r="BC14" i="59"/>
  <c r="BB14" i="59"/>
  <c r="BA14" i="59"/>
  <c r="AZ14" i="59"/>
  <c r="AY14" i="59"/>
  <c r="AX14" i="59"/>
  <c r="AW14" i="59"/>
  <c r="BB13" i="59"/>
  <c r="BF12" i="59"/>
  <c r="BE12" i="59"/>
  <c r="BD12" i="59"/>
  <c r="BC12" i="59"/>
  <c r="BB12" i="59"/>
  <c r="BA12" i="59"/>
  <c r="AZ12" i="59"/>
  <c r="AY12" i="59"/>
  <c r="AX12" i="59"/>
  <c r="AW12" i="59"/>
  <c r="BB11" i="59"/>
  <c r="BF10" i="59"/>
  <c r="BE10" i="59"/>
  <c r="BD10" i="59"/>
  <c r="BC10" i="59"/>
  <c r="BC66" i="59" s="1"/>
  <c r="AJ2" i="59" s="1"/>
  <c r="BB10" i="59"/>
  <c r="BA10" i="59"/>
  <c r="AZ10" i="59"/>
  <c r="AY10" i="59"/>
  <c r="AY66" i="59" s="1"/>
  <c r="T4" i="59" s="1"/>
  <c r="AX10" i="59"/>
  <c r="AW10" i="59"/>
  <c r="BB65" i="58"/>
  <c r="BF64" i="58"/>
  <c r="BE64" i="58"/>
  <c r="BD64" i="58"/>
  <c r="BC64" i="58"/>
  <c r="BB64" i="58"/>
  <c r="BA64" i="58"/>
  <c r="AZ64" i="58"/>
  <c r="AY64" i="58"/>
  <c r="AX64" i="58"/>
  <c r="AW64" i="58"/>
  <c r="BB63" i="58"/>
  <c r="BF62" i="58"/>
  <c r="BE62" i="58"/>
  <c r="BD62" i="58"/>
  <c r="BC62" i="58"/>
  <c r="BB62" i="58"/>
  <c r="BA62" i="58"/>
  <c r="AZ62" i="58"/>
  <c r="AY62" i="58"/>
  <c r="AX62" i="58"/>
  <c r="AW62" i="58"/>
  <c r="BB61" i="58"/>
  <c r="BF60" i="58"/>
  <c r="BE60" i="58"/>
  <c r="BD60" i="58"/>
  <c r="BC60" i="58"/>
  <c r="BB60" i="58"/>
  <c r="BA60" i="58"/>
  <c r="AZ60" i="58"/>
  <c r="AY60" i="58"/>
  <c r="AX60" i="58"/>
  <c r="AW60" i="58"/>
  <c r="BB59" i="58"/>
  <c r="BF58" i="58"/>
  <c r="BE58" i="58"/>
  <c r="BD58" i="58"/>
  <c r="BC58" i="58"/>
  <c r="BB58" i="58"/>
  <c r="BA58" i="58"/>
  <c r="AZ58" i="58"/>
  <c r="AY58" i="58"/>
  <c r="AX58" i="58"/>
  <c r="AW58" i="58"/>
  <c r="BB57" i="58"/>
  <c r="BF56" i="58"/>
  <c r="BE56" i="58"/>
  <c r="BD56" i="58"/>
  <c r="BC56" i="58"/>
  <c r="BB56" i="58"/>
  <c r="BA56" i="58"/>
  <c r="AZ56" i="58"/>
  <c r="AY56" i="58"/>
  <c r="AX56" i="58"/>
  <c r="AW56" i="58"/>
  <c r="BB55" i="58"/>
  <c r="BF54" i="58"/>
  <c r="BE54" i="58"/>
  <c r="BD54" i="58"/>
  <c r="BC54" i="58"/>
  <c r="BB54" i="58"/>
  <c r="BA54" i="58"/>
  <c r="AZ54" i="58"/>
  <c r="AY54" i="58"/>
  <c r="AX54" i="58"/>
  <c r="AW54" i="58"/>
  <c r="BB53" i="58"/>
  <c r="BB49" i="58"/>
  <c r="BF48" i="58"/>
  <c r="BE48" i="58"/>
  <c r="BD48" i="58"/>
  <c r="BC48" i="58"/>
  <c r="BB48" i="58"/>
  <c r="BA48" i="58"/>
  <c r="AZ48" i="58"/>
  <c r="AY48" i="58"/>
  <c r="AX48" i="58"/>
  <c r="AW48" i="58"/>
  <c r="BB47" i="58"/>
  <c r="BF46" i="58"/>
  <c r="BE46" i="58"/>
  <c r="BD46" i="58"/>
  <c r="BC46" i="58"/>
  <c r="BB46" i="58"/>
  <c r="BA46" i="58"/>
  <c r="AZ46" i="58"/>
  <c r="AY46" i="58"/>
  <c r="AX46" i="58"/>
  <c r="AW46" i="58"/>
  <c r="BB45" i="58"/>
  <c r="BF44" i="58"/>
  <c r="BE44" i="58"/>
  <c r="BD44" i="58"/>
  <c r="BC44" i="58"/>
  <c r="BB44" i="58"/>
  <c r="BA44" i="58"/>
  <c r="AZ44" i="58"/>
  <c r="AY44" i="58"/>
  <c r="AX44" i="58"/>
  <c r="AW44" i="58"/>
  <c r="BB43" i="58"/>
  <c r="BF42" i="58"/>
  <c r="BE42" i="58"/>
  <c r="BD42" i="58"/>
  <c r="BC42" i="58"/>
  <c r="BB42" i="58"/>
  <c r="BA42" i="58"/>
  <c r="AZ42" i="58"/>
  <c r="AY42" i="58"/>
  <c r="AX42" i="58"/>
  <c r="AW42" i="58"/>
  <c r="BB41" i="58"/>
  <c r="BB39" i="58"/>
  <c r="BF38" i="58"/>
  <c r="BE38" i="58"/>
  <c r="BD38" i="58"/>
  <c r="BC38" i="58"/>
  <c r="BB38" i="58"/>
  <c r="BA38" i="58"/>
  <c r="AZ38" i="58"/>
  <c r="AY38" i="58"/>
  <c r="AX38" i="58"/>
  <c r="AW38" i="58"/>
  <c r="BB37" i="58"/>
  <c r="BF36" i="58"/>
  <c r="BE36" i="58"/>
  <c r="BD36" i="58"/>
  <c r="BC36" i="58"/>
  <c r="BB36" i="58"/>
  <c r="BA36" i="58"/>
  <c r="AZ36" i="58"/>
  <c r="AY36" i="58"/>
  <c r="AX36" i="58"/>
  <c r="AW36" i="58"/>
  <c r="BB35" i="58"/>
  <c r="BF34" i="58"/>
  <c r="BE34" i="58"/>
  <c r="BD34" i="58"/>
  <c r="BC34" i="58"/>
  <c r="BB34" i="58"/>
  <c r="BA34" i="58"/>
  <c r="AZ34" i="58"/>
  <c r="AY34" i="58"/>
  <c r="AX34" i="58"/>
  <c r="AW34" i="58"/>
  <c r="BB33" i="58"/>
  <c r="BF32" i="58"/>
  <c r="BE32" i="58"/>
  <c r="BD32" i="58"/>
  <c r="BC32" i="58"/>
  <c r="BB32" i="58"/>
  <c r="BA32" i="58"/>
  <c r="AZ32" i="58"/>
  <c r="AY32" i="58"/>
  <c r="AX32" i="58"/>
  <c r="AW32" i="58"/>
  <c r="BB31" i="58"/>
  <c r="BF30" i="58"/>
  <c r="BE30" i="58"/>
  <c r="BD30" i="58"/>
  <c r="BC30" i="58"/>
  <c r="BB30" i="58"/>
  <c r="BA30" i="58"/>
  <c r="AZ30" i="58"/>
  <c r="AY30" i="58"/>
  <c r="AX30" i="58"/>
  <c r="AW30" i="58"/>
  <c r="BB29" i="58"/>
  <c r="BF28" i="58"/>
  <c r="BE28" i="58"/>
  <c r="BD28" i="58"/>
  <c r="BC28" i="58"/>
  <c r="BB28" i="58"/>
  <c r="BA28" i="58"/>
  <c r="AZ28" i="58"/>
  <c r="AY28" i="58"/>
  <c r="AX28" i="58"/>
  <c r="AW28" i="58"/>
  <c r="BB27" i="58"/>
  <c r="BF26" i="58"/>
  <c r="BE26" i="58"/>
  <c r="BD26" i="58"/>
  <c r="BC26" i="58"/>
  <c r="BB26" i="58"/>
  <c r="BA26" i="58"/>
  <c r="AZ26" i="58"/>
  <c r="AY26" i="58"/>
  <c r="AX26" i="58"/>
  <c r="AW26" i="58"/>
  <c r="BB25" i="58"/>
  <c r="BF24" i="58"/>
  <c r="BE24" i="58"/>
  <c r="BD24" i="58"/>
  <c r="BC24" i="58"/>
  <c r="BB24" i="58"/>
  <c r="BA24" i="58"/>
  <c r="AZ24" i="58"/>
  <c r="AY24" i="58"/>
  <c r="AX24" i="58"/>
  <c r="AW24" i="58"/>
  <c r="BB23" i="58"/>
  <c r="BF22" i="58"/>
  <c r="BE22" i="58"/>
  <c r="BD22" i="58"/>
  <c r="BC22" i="58"/>
  <c r="BB22" i="58"/>
  <c r="BA22" i="58"/>
  <c r="AZ22" i="58"/>
  <c r="AY22" i="58"/>
  <c r="AX22" i="58"/>
  <c r="AW22" i="58"/>
  <c r="BB21" i="58"/>
  <c r="BF20" i="58"/>
  <c r="BE20" i="58"/>
  <c r="BD20" i="58"/>
  <c r="BC20" i="58"/>
  <c r="BB20" i="58"/>
  <c r="BA20" i="58"/>
  <c r="AZ20" i="58"/>
  <c r="AY20" i="58"/>
  <c r="AX20" i="58"/>
  <c r="AW20" i="58"/>
  <c r="BB19" i="58"/>
  <c r="BF18" i="58"/>
  <c r="BE18" i="58"/>
  <c r="BD18" i="58"/>
  <c r="BC18" i="58"/>
  <c r="BB18" i="58"/>
  <c r="BA18" i="58"/>
  <c r="AZ18" i="58"/>
  <c r="AY18" i="58"/>
  <c r="AX18" i="58"/>
  <c r="AW18" i="58"/>
  <c r="BB17" i="58"/>
  <c r="BF16" i="58"/>
  <c r="BE16" i="58"/>
  <c r="BD16" i="58"/>
  <c r="BC16" i="58"/>
  <c r="BB16" i="58"/>
  <c r="BA16" i="58"/>
  <c r="AZ16" i="58"/>
  <c r="AY16" i="58"/>
  <c r="AX16" i="58"/>
  <c r="AW16" i="58"/>
  <c r="BB15" i="58"/>
  <c r="BF14" i="58"/>
  <c r="BE14" i="58"/>
  <c r="BD14" i="58"/>
  <c r="BC14" i="58"/>
  <c r="BB14" i="58"/>
  <c r="BA14" i="58"/>
  <c r="AZ14" i="58"/>
  <c r="AY14" i="58"/>
  <c r="AX14" i="58"/>
  <c r="AW14" i="58"/>
  <c r="BB13" i="58"/>
  <c r="BF12" i="58"/>
  <c r="BE12" i="58"/>
  <c r="BD12" i="58"/>
  <c r="BC12" i="58"/>
  <c r="BB12" i="58"/>
  <c r="BA12" i="58"/>
  <c r="AZ12" i="58"/>
  <c r="AY12" i="58"/>
  <c r="AX12" i="58"/>
  <c r="AW12" i="58"/>
  <c r="BB11" i="58"/>
  <c r="BF10" i="58"/>
  <c r="BE10" i="58"/>
  <c r="BD10" i="58"/>
  <c r="BD66" i="58" s="1"/>
  <c r="D52" i="58" s="1"/>
  <c r="BC10" i="58"/>
  <c r="BB10" i="58"/>
  <c r="BA10" i="58"/>
  <c r="AZ10" i="58"/>
  <c r="AZ66" i="58" s="1"/>
  <c r="AJ4" i="58" s="1"/>
  <c r="AY10" i="58"/>
  <c r="AX10" i="58"/>
  <c r="AW10" i="58"/>
  <c r="BB65" i="57"/>
  <c r="BF64" i="57"/>
  <c r="BE64" i="57"/>
  <c r="BD64" i="57"/>
  <c r="BC64" i="57"/>
  <c r="BB64" i="57"/>
  <c r="BA64" i="57"/>
  <c r="AZ64" i="57"/>
  <c r="AY64" i="57"/>
  <c r="AX64" i="57"/>
  <c r="AW64" i="57"/>
  <c r="BB63" i="57"/>
  <c r="BF62" i="57"/>
  <c r="BE62" i="57"/>
  <c r="BD62" i="57"/>
  <c r="BC62" i="57"/>
  <c r="BB62" i="57"/>
  <c r="BA62" i="57"/>
  <c r="AZ62" i="57"/>
  <c r="AY62" i="57"/>
  <c r="AX62" i="57"/>
  <c r="AW62" i="57"/>
  <c r="BB61" i="57"/>
  <c r="BF60" i="57"/>
  <c r="BE60" i="57"/>
  <c r="BD60" i="57"/>
  <c r="BC60" i="57"/>
  <c r="BB60" i="57"/>
  <c r="BA60" i="57"/>
  <c r="AZ60" i="57"/>
  <c r="AY60" i="57"/>
  <c r="AX60" i="57"/>
  <c r="AW60" i="57"/>
  <c r="BB59" i="57"/>
  <c r="BF58" i="57"/>
  <c r="BE58" i="57"/>
  <c r="BD58" i="57"/>
  <c r="BC58" i="57"/>
  <c r="BB58" i="57"/>
  <c r="BA58" i="57"/>
  <c r="AZ58" i="57"/>
  <c r="AY58" i="57"/>
  <c r="AX58" i="57"/>
  <c r="AW58" i="57"/>
  <c r="BB57" i="57"/>
  <c r="BF56" i="57"/>
  <c r="BE56" i="57"/>
  <c r="BD56" i="57"/>
  <c r="BC56" i="57"/>
  <c r="BB56" i="57"/>
  <c r="BA56" i="57"/>
  <c r="AZ56" i="57"/>
  <c r="AY56" i="57"/>
  <c r="AX56" i="57"/>
  <c r="AW56" i="57"/>
  <c r="BB55" i="57"/>
  <c r="BF54" i="57"/>
  <c r="BE54" i="57"/>
  <c r="BD54" i="57"/>
  <c r="BC54" i="57"/>
  <c r="BB54" i="57"/>
  <c r="BA54" i="57"/>
  <c r="AZ54" i="57"/>
  <c r="AY54" i="57"/>
  <c r="AX54" i="57"/>
  <c r="AW54" i="57"/>
  <c r="BB53" i="57"/>
  <c r="BB49" i="57"/>
  <c r="BF48" i="57"/>
  <c r="BE48" i="57"/>
  <c r="BD48" i="57"/>
  <c r="BC48" i="57"/>
  <c r="BB48" i="57"/>
  <c r="BA48" i="57"/>
  <c r="AZ48" i="57"/>
  <c r="AY48" i="57"/>
  <c r="AX48" i="57"/>
  <c r="AW48" i="57"/>
  <c r="BB47" i="57"/>
  <c r="BF46" i="57"/>
  <c r="BE46" i="57"/>
  <c r="BD46" i="57"/>
  <c r="BC46" i="57"/>
  <c r="BB46" i="57"/>
  <c r="BA46" i="57"/>
  <c r="AZ46" i="57"/>
  <c r="AY46" i="57"/>
  <c r="AX46" i="57"/>
  <c r="AW46" i="57"/>
  <c r="BB45" i="57"/>
  <c r="BF44" i="57"/>
  <c r="BE44" i="57"/>
  <c r="BD44" i="57"/>
  <c r="BC44" i="57"/>
  <c r="BB44" i="57"/>
  <c r="BA44" i="57"/>
  <c r="AZ44" i="57"/>
  <c r="AY44" i="57"/>
  <c r="AX44" i="57"/>
  <c r="AW44" i="57"/>
  <c r="BB43" i="57"/>
  <c r="BF42" i="57"/>
  <c r="BE42" i="57"/>
  <c r="BD42" i="57"/>
  <c r="BC42" i="57"/>
  <c r="BB42" i="57"/>
  <c r="BA42" i="57"/>
  <c r="AZ42" i="57"/>
  <c r="AY42" i="57"/>
  <c r="AX42" i="57"/>
  <c r="AW42" i="57"/>
  <c r="BB41" i="57"/>
  <c r="BB39" i="57"/>
  <c r="BF38" i="57"/>
  <c r="BE38" i="57"/>
  <c r="BD38" i="57"/>
  <c r="BC38" i="57"/>
  <c r="BB38" i="57"/>
  <c r="BA38" i="57"/>
  <c r="AZ38" i="57"/>
  <c r="AY38" i="57"/>
  <c r="AX38" i="57"/>
  <c r="AW38" i="57"/>
  <c r="BB37" i="57"/>
  <c r="BF36" i="57"/>
  <c r="BE36" i="57"/>
  <c r="BD36" i="57"/>
  <c r="BC36" i="57"/>
  <c r="BB36" i="57"/>
  <c r="BA36" i="57"/>
  <c r="AZ36" i="57"/>
  <c r="AY36" i="57"/>
  <c r="AX36" i="57"/>
  <c r="AW36" i="57"/>
  <c r="BB35" i="57"/>
  <c r="BF34" i="57"/>
  <c r="BE34" i="57"/>
  <c r="BD34" i="57"/>
  <c r="BC34" i="57"/>
  <c r="BB34" i="57"/>
  <c r="BA34" i="57"/>
  <c r="AZ34" i="57"/>
  <c r="AY34" i="57"/>
  <c r="AX34" i="57"/>
  <c r="AW34" i="57"/>
  <c r="BB33" i="57"/>
  <c r="BF32" i="57"/>
  <c r="BE32" i="57"/>
  <c r="BD32" i="57"/>
  <c r="BC32" i="57"/>
  <c r="BB32" i="57"/>
  <c r="BA32" i="57"/>
  <c r="AZ32" i="57"/>
  <c r="AY32" i="57"/>
  <c r="AX32" i="57"/>
  <c r="AW32" i="57"/>
  <c r="BB31" i="57"/>
  <c r="BF30" i="57"/>
  <c r="BE30" i="57"/>
  <c r="BD30" i="57"/>
  <c r="BC30" i="57"/>
  <c r="BB30" i="57"/>
  <c r="BA30" i="57"/>
  <c r="AZ30" i="57"/>
  <c r="AY30" i="57"/>
  <c r="AX30" i="57"/>
  <c r="AW30" i="57"/>
  <c r="BB29" i="57"/>
  <c r="BF28" i="57"/>
  <c r="BE28" i="57"/>
  <c r="BD28" i="57"/>
  <c r="BC28" i="57"/>
  <c r="BB28" i="57"/>
  <c r="BA28" i="57"/>
  <c r="AZ28" i="57"/>
  <c r="AY28" i="57"/>
  <c r="AX28" i="57"/>
  <c r="AW28" i="57"/>
  <c r="BB27" i="57"/>
  <c r="BF26" i="57"/>
  <c r="BE26" i="57"/>
  <c r="BD26" i="57"/>
  <c r="BC26" i="57"/>
  <c r="BB26" i="57"/>
  <c r="BA26" i="57"/>
  <c r="AZ26" i="57"/>
  <c r="AY26" i="57"/>
  <c r="AX26" i="57"/>
  <c r="AW26" i="57"/>
  <c r="BB25" i="57"/>
  <c r="BF24" i="57"/>
  <c r="BE24" i="57"/>
  <c r="BD24" i="57"/>
  <c r="BC24" i="57"/>
  <c r="BB24" i="57"/>
  <c r="BA24" i="57"/>
  <c r="AZ24" i="57"/>
  <c r="AY24" i="57"/>
  <c r="AX24" i="57"/>
  <c r="AW24" i="57"/>
  <c r="BB23" i="57"/>
  <c r="BF22" i="57"/>
  <c r="BE22" i="57"/>
  <c r="BD22" i="57"/>
  <c r="BC22" i="57"/>
  <c r="BB22" i="57"/>
  <c r="BA22" i="57"/>
  <c r="AZ22" i="57"/>
  <c r="AY22" i="57"/>
  <c r="AX22" i="57"/>
  <c r="AW22" i="57"/>
  <c r="BB21" i="57"/>
  <c r="BF20" i="57"/>
  <c r="BE20" i="57"/>
  <c r="BD20" i="57"/>
  <c r="BC20" i="57"/>
  <c r="BB20" i="57"/>
  <c r="BA20" i="57"/>
  <c r="AZ20" i="57"/>
  <c r="AY20" i="57"/>
  <c r="AX20" i="57"/>
  <c r="AW20" i="57"/>
  <c r="BB19" i="57"/>
  <c r="BF18" i="57"/>
  <c r="BE18" i="57"/>
  <c r="BD18" i="57"/>
  <c r="BC18" i="57"/>
  <c r="BB18" i="57"/>
  <c r="BA18" i="57"/>
  <c r="AZ18" i="57"/>
  <c r="AY18" i="57"/>
  <c r="AX18" i="57"/>
  <c r="AW18" i="57"/>
  <c r="BB17" i="57"/>
  <c r="BF16" i="57"/>
  <c r="BE16" i="57"/>
  <c r="BD16" i="57"/>
  <c r="BC16" i="57"/>
  <c r="BB16" i="57"/>
  <c r="BA16" i="57"/>
  <c r="AZ16" i="57"/>
  <c r="AY16" i="57"/>
  <c r="AX16" i="57"/>
  <c r="AW16" i="57"/>
  <c r="BB15" i="57"/>
  <c r="BF14" i="57"/>
  <c r="BE14" i="57"/>
  <c r="BD14" i="57"/>
  <c r="BC14" i="57"/>
  <c r="BB14" i="57"/>
  <c r="BA14" i="57"/>
  <c r="AZ14" i="57"/>
  <c r="AY14" i="57"/>
  <c r="AX14" i="57"/>
  <c r="AW14" i="57"/>
  <c r="BB13" i="57"/>
  <c r="BF12" i="57"/>
  <c r="BE12" i="57"/>
  <c r="BD12" i="57"/>
  <c r="BC12" i="57"/>
  <c r="BB12" i="57"/>
  <c r="BA12" i="57"/>
  <c r="AZ12" i="57"/>
  <c r="AY12" i="57"/>
  <c r="AX12" i="57"/>
  <c r="AW12" i="57"/>
  <c r="BB11" i="57"/>
  <c r="BF10" i="57"/>
  <c r="BE10" i="57"/>
  <c r="BE66" i="57" s="1"/>
  <c r="T52" i="57" s="1"/>
  <c r="BD10" i="57"/>
  <c r="BC10" i="57"/>
  <c r="BB10" i="57"/>
  <c r="BA10" i="57"/>
  <c r="BA66" i="57" s="1"/>
  <c r="AZ10" i="57"/>
  <c r="AY10" i="57"/>
  <c r="AX10" i="57"/>
  <c r="AW10" i="57"/>
  <c r="AW66" i="57" s="1"/>
  <c r="D4" i="57" s="1"/>
  <c r="BB65" i="56"/>
  <c r="BF64" i="56"/>
  <c r="BE64" i="56"/>
  <c r="BD64" i="56"/>
  <c r="BC64" i="56"/>
  <c r="BB64" i="56"/>
  <c r="BA64" i="56"/>
  <c r="AZ64" i="56"/>
  <c r="AY64" i="56"/>
  <c r="AX64" i="56"/>
  <c r="AW64" i="56"/>
  <c r="BB63" i="56"/>
  <c r="BF62" i="56"/>
  <c r="BE62" i="56"/>
  <c r="BD62" i="56"/>
  <c r="BC62" i="56"/>
  <c r="BB62" i="56"/>
  <c r="BA62" i="56"/>
  <c r="AZ62" i="56"/>
  <c r="AY62" i="56"/>
  <c r="AX62" i="56"/>
  <c r="AW62" i="56"/>
  <c r="BB61" i="56"/>
  <c r="BF60" i="56"/>
  <c r="BE60" i="56"/>
  <c r="BD60" i="56"/>
  <c r="BC60" i="56"/>
  <c r="BB60" i="56"/>
  <c r="BA60" i="56"/>
  <c r="AZ60" i="56"/>
  <c r="AY60" i="56"/>
  <c r="AX60" i="56"/>
  <c r="AW60" i="56"/>
  <c r="BB59" i="56"/>
  <c r="BF58" i="56"/>
  <c r="BE58" i="56"/>
  <c r="BD58" i="56"/>
  <c r="BC58" i="56"/>
  <c r="BB58" i="56"/>
  <c r="BA58" i="56"/>
  <c r="AZ58" i="56"/>
  <c r="AY58" i="56"/>
  <c r="AX58" i="56"/>
  <c r="AW58" i="56"/>
  <c r="BB57" i="56"/>
  <c r="BF56" i="56"/>
  <c r="BE56" i="56"/>
  <c r="BD56" i="56"/>
  <c r="BC56" i="56"/>
  <c r="BB56" i="56"/>
  <c r="BA56" i="56"/>
  <c r="AZ56" i="56"/>
  <c r="AY56" i="56"/>
  <c r="AX56" i="56"/>
  <c r="AW56" i="56"/>
  <c r="BB55" i="56"/>
  <c r="BF54" i="56"/>
  <c r="BE54" i="56"/>
  <c r="BD54" i="56"/>
  <c r="BC54" i="56"/>
  <c r="BB54" i="56"/>
  <c r="BA54" i="56"/>
  <c r="AZ54" i="56"/>
  <c r="AY54" i="56"/>
  <c r="AX54" i="56"/>
  <c r="AW54" i="56"/>
  <c r="BB53" i="56"/>
  <c r="BB49" i="56"/>
  <c r="BF48" i="56"/>
  <c r="BE48" i="56"/>
  <c r="BD48" i="56"/>
  <c r="BC48" i="56"/>
  <c r="BB48" i="56"/>
  <c r="BA48" i="56"/>
  <c r="AZ48" i="56"/>
  <c r="AY48" i="56"/>
  <c r="AX48" i="56"/>
  <c r="AW48" i="56"/>
  <c r="BB47" i="56"/>
  <c r="BF46" i="56"/>
  <c r="BE46" i="56"/>
  <c r="BD46" i="56"/>
  <c r="BC46" i="56"/>
  <c r="BB46" i="56"/>
  <c r="BA46" i="56"/>
  <c r="AZ46" i="56"/>
  <c r="AY46" i="56"/>
  <c r="AX46" i="56"/>
  <c r="AW46" i="56"/>
  <c r="BB45" i="56"/>
  <c r="BF44" i="56"/>
  <c r="BE44" i="56"/>
  <c r="BD44" i="56"/>
  <c r="BC44" i="56"/>
  <c r="BB44" i="56"/>
  <c r="BA44" i="56"/>
  <c r="AZ44" i="56"/>
  <c r="AY44" i="56"/>
  <c r="AX44" i="56"/>
  <c r="AW44" i="56"/>
  <c r="BB43" i="56"/>
  <c r="BF42" i="56"/>
  <c r="BE42" i="56"/>
  <c r="BD42" i="56"/>
  <c r="BC42" i="56"/>
  <c r="BB42" i="56"/>
  <c r="BA42" i="56"/>
  <c r="AZ42" i="56"/>
  <c r="AY42" i="56"/>
  <c r="AX42" i="56"/>
  <c r="AW42" i="56"/>
  <c r="BB41" i="56"/>
  <c r="BB39" i="56"/>
  <c r="BF38" i="56"/>
  <c r="BE38" i="56"/>
  <c r="BD38" i="56"/>
  <c r="BC38" i="56"/>
  <c r="BB38" i="56"/>
  <c r="BA38" i="56"/>
  <c r="AZ38" i="56"/>
  <c r="AY38" i="56"/>
  <c r="AX38" i="56"/>
  <c r="AW38" i="56"/>
  <c r="BB37" i="56"/>
  <c r="BF36" i="56"/>
  <c r="BE36" i="56"/>
  <c r="BD36" i="56"/>
  <c r="BC36" i="56"/>
  <c r="BB36" i="56"/>
  <c r="BA36" i="56"/>
  <c r="AZ36" i="56"/>
  <c r="AY36" i="56"/>
  <c r="AX36" i="56"/>
  <c r="AW36" i="56"/>
  <c r="BB35" i="56"/>
  <c r="BF34" i="56"/>
  <c r="BE34" i="56"/>
  <c r="BD34" i="56"/>
  <c r="BC34" i="56"/>
  <c r="BB34" i="56"/>
  <c r="BA34" i="56"/>
  <c r="AZ34" i="56"/>
  <c r="AY34" i="56"/>
  <c r="AX34" i="56"/>
  <c r="AW34" i="56"/>
  <c r="BB33" i="56"/>
  <c r="BF32" i="56"/>
  <c r="BE32" i="56"/>
  <c r="BD32" i="56"/>
  <c r="BC32" i="56"/>
  <c r="BB32" i="56"/>
  <c r="BA32" i="56"/>
  <c r="AZ32" i="56"/>
  <c r="AY32" i="56"/>
  <c r="AX32" i="56"/>
  <c r="AW32" i="56"/>
  <c r="BB31" i="56"/>
  <c r="BF30" i="56"/>
  <c r="BE30" i="56"/>
  <c r="BD30" i="56"/>
  <c r="BC30" i="56"/>
  <c r="BB30" i="56"/>
  <c r="BA30" i="56"/>
  <c r="AZ30" i="56"/>
  <c r="AY30" i="56"/>
  <c r="AX30" i="56"/>
  <c r="AW30" i="56"/>
  <c r="BB29" i="56"/>
  <c r="BF28" i="56"/>
  <c r="BE28" i="56"/>
  <c r="BD28" i="56"/>
  <c r="BC28" i="56"/>
  <c r="BB28" i="56"/>
  <c r="BA28" i="56"/>
  <c r="AZ28" i="56"/>
  <c r="AY28" i="56"/>
  <c r="AX28" i="56"/>
  <c r="AW28" i="56"/>
  <c r="BB27" i="56"/>
  <c r="BF26" i="56"/>
  <c r="BE26" i="56"/>
  <c r="BD26" i="56"/>
  <c r="BC26" i="56"/>
  <c r="BB26" i="56"/>
  <c r="BA26" i="56"/>
  <c r="AZ26" i="56"/>
  <c r="AY26" i="56"/>
  <c r="AX26" i="56"/>
  <c r="AW26" i="56"/>
  <c r="BB25" i="56"/>
  <c r="BF24" i="56"/>
  <c r="BE24" i="56"/>
  <c r="BD24" i="56"/>
  <c r="BC24" i="56"/>
  <c r="BB24" i="56"/>
  <c r="BA24" i="56"/>
  <c r="AZ24" i="56"/>
  <c r="AY24" i="56"/>
  <c r="AX24" i="56"/>
  <c r="AW24" i="56"/>
  <c r="BB23" i="56"/>
  <c r="BF22" i="56"/>
  <c r="BE22" i="56"/>
  <c r="BD22" i="56"/>
  <c r="BC22" i="56"/>
  <c r="BB22" i="56"/>
  <c r="BA22" i="56"/>
  <c r="AZ22" i="56"/>
  <c r="AY22" i="56"/>
  <c r="AX22" i="56"/>
  <c r="AW22" i="56"/>
  <c r="BB21" i="56"/>
  <c r="BF20" i="56"/>
  <c r="BE20" i="56"/>
  <c r="BD20" i="56"/>
  <c r="BC20" i="56"/>
  <c r="BB20" i="56"/>
  <c r="BA20" i="56"/>
  <c r="AZ20" i="56"/>
  <c r="AY20" i="56"/>
  <c r="AX20" i="56"/>
  <c r="AW20" i="56"/>
  <c r="BB19" i="56"/>
  <c r="BF18" i="56"/>
  <c r="BE18" i="56"/>
  <c r="BD18" i="56"/>
  <c r="BC18" i="56"/>
  <c r="BB18" i="56"/>
  <c r="BA18" i="56"/>
  <c r="AZ18" i="56"/>
  <c r="AY18" i="56"/>
  <c r="AX18" i="56"/>
  <c r="AW18" i="56"/>
  <c r="BB17" i="56"/>
  <c r="BF16" i="56"/>
  <c r="BE16" i="56"/>
  <c r="BD16" i="56"/>
  <c r="BC16" i="56"/>
  <c r="BB16" i="56"/>
  <c r="BA16" i="56"/>
  <c r="AZ16" i="56"/>
  <c r="AY16" i="56"/>
  <c r="AX16" i="56"/>
  <c r="AW16" i="56"/>
  <c r="BB15" i="56"/>
  <c r="BF14" i="56"/>
  <c r="BE14" i="56"/>
  <c r="BD14" i="56"/>
  <c r="BC14" i="56"/>
  <c r="BB14" i="56"/>
  <c r="BA14" i="56"/>
  <c r="AZ14" i="56"/>
  <c r="AY14" i="56"/>
  <c r="AX14" i="56"/>
  <c r="AW14" i="56"/>
  <c r="BB13" i="56"/>
  <c r="BF12" i="56"/>
  <c r="BE12" i="56"/>
  <c r="BD12" i="56"/>
  <c r="BC12" i="56"/>
  <c r="BB12" i="56"/>
  <c r="BA12" i="56"/>
  <c r="AZ12" i="56"/>
  <c r="AY12" i="56"/>
  <c r="AX12" i="56"/>
  <c r="AW12" i="56"/>
  <c r="BB11" i="56"/>
  <c r="BF10" i="56"/>
  <c r="BF66" i="56" s="1"/>
  <c r="AJ52" i="56" s="1"/>
  <c r="BE10" i="56"/>
  <c r="BD10" i="56"/>
  <c r="BC10" i="56"/>
  <c r="BB10" i="56"/>
  <c r="BB66" i="56" s="1"/>
  <c r="BA10" i="56"/>
  <c r="AZ10" i="56"/>
  <c r="AY10" i="56"/>
  <c r="AX10" i="56"/>
  <c r="AX66" i="56" s="1"/>
  <c r="D6" i="56" s="1"/>
  <c r="AW10" i="56"/>
  <c r="BB65" i="55"/>
  <c r="BF64" i="55"/>
  <c r="BE64" i="55"/>
  <c r="BD64" i="55"/>
  <c r="BC64" i="55"/>
  <c r="BB64" i="55"/>
  <c r="BA64" i="55"/>
  <c r="AZ64" i="55"/>
  <c r="AY64" i="55"/>
  <c r="AX64" i="55"/>
  <c r="AW64" i="55"/>
  <c r="BB63" i="55"/>
  <c r="BF62" i="55"/>
  <c r="BE62" i="55"/>
  <c r="BD62" i="55"/>
  <c r="BC62" i="55"/>
  <c r="BB62" i="55"/>
  <c r="BA62" i="55"/>
  <c r="AZ62" i="55"/>
  <c r="AY62" i="55"/>
  <c r="AX62" i="55"/>
  <c r="AW62" i="55"/>
  <c r="BB61" i="55"/>
  <c r="BF60" i="55"/>
  <c r="BE60" i="55"/>
  <c r="BD60" i="55"/>
  <c r="BC60" i="55"/>
  <c r="BB60" i="55"/>
  <c r="BA60" i="55"/>
  <c r="AZ60" i="55"/>
  <c r="AY60" i="55"/>
  <c r="AX60" i="55"/>
  <c r="AW60" i="55"/>
  <c r="BB59" i="55"/>
  <c r="BF58" i="55"/>
  <c r="BE58" i="55"/>
  <c r="BD58" i="55"/>
  <c r="BC58" i="55"/>
  <c r="BB58" i="55"/>
  <c r="BA58" i="55"/>
  <c r="AZ58" i="55"/>
  <c r="AY58" i="55"/>
  <c r="AX58" i="55"/>
  <c r="AW58" i="55"/>
  <c r="BB57" i="55"/>
  <c r="BF56" i="55"/>
  <c r="BE56" i="55"/>
  <c r="BD56" i="55"/>
  <c r="BC56" i="55"/>
  <c r="BB56" i="55"/>
  <c r="BA56" i="55"/>
  <c r="AZ56" i="55"/>
  <c r="AY56" i="55"/>
  <c r="AX56" i="55"/>
  <c r="AW56" i="55"/>
  <c r="BB55" i="55"/>
  <c r="BF54" i="55"/>
  <c r="BE54" i="55"/>
  <c r="BD54" i="55"/>
  <c r="BC54" i="55"/>
  <c r="BB54" i="55"/>
  <c r="BA54" i="55"/>
  <c r="AZ54" i="55"/>
  <c r="AY54" i="55"/>
  <c r="AX54" i="55"/>
  <c r="AW54" i="55"/>
  <c r="BB53" i="55"/>
  <c r="BB49" i="55"/>
  <c r="BF48" i="55"/>
  <c r="BE48" i="55"/>
  <c r="BD48" i="55"/>
  <c r="BC48" i="55"/>
  <c r="BB48" i="55"/>
  <c r="BA48" i="55"/>
  <c r="AZ48" i="55"/>
  <c r="AY48" i="55"/>
  <c r="AX48" i="55"/>
  <c r="AW48" i="55"/>
  <c r="BB47" i="55"/>
  <c r="BF46" i="55"/>
  <c r="BE46" i="55"/>
  <c r="BD46" i="55"/>
  <c r="BC46" i="55"/>
  <c r="BB46" i="55"/>
  <c r="BA46" i="55"/>
  <c r="AZ46" i="55"/>
  <c r="AY46" i="55"/>
  <c r="AX46" i="55"/>
  <c r="AW46" i="55"/>
  <c r="BB45" i="55"/>
  <c r="BF44" i="55"/>
  <c r="BE44" i="55"/>
  <c r="BD44" i="55"/>
  <c r="BC44" i="55"/>
  <c r="BB44" i="55"/>
  <c r="BA44" i="55"/>
  <c r="AZ44" i="55"/>
  <c r="AY44" i="55"/>
  <c r="AX44" i="55"/>
  <c r="AW44" i="55"/>
  <c r="BB43" i="55"/>
  <c r="BF42" i="55"/>
  <c r="BE42" i="55"/>
  <c r="BD42" i="55"/>
  <c r="BC42" i="55"/>
  <c r="BB42" i="55"/>
  <c r="BA42" i="55"/>
  <c r="AZ42" i="55"/>
  <c r="AY42" i="55"/>
  <c r="AX42" i="55"/>
  <c r="AW42" i="55"/>
  <c r="BB41" i="55"/>
  <c r="BB39" i="55"/>
  <c r="BF38" i="55"/>
  <c r="BE38" i="55"/>
  <c r="BD38" i="55"/>
  <c r="BC38" i="55"/>
  <c r="BB38" i="55"/>
  <c r="BA38" i="55"/>
  <c r="AZ38" i="55"/>
  <c r="AY38" i="55"/>
  <c r="AX38" i="55"/>
  <c r="AW38" i="55"/>
  <c r="BB37" i="55"/>
  <c r="BF36" i="55"/>
  <c r="BE36" i="55"/>
  <c r="BD36" i="55"/>
  <c r="BC36" i="55"/>
  <c r="BB36" i="55"/>
  <c r="BA36" i="55"/>
  <c r="AZ36" i="55"/>
  <c r="AY36" i="55"/>
  <c r="AX36" i="55"/>
  <c r="AW36" i="55"/>
  <c r="BB35" i="55"/>
  <c r="BF34" i="55"/>
  <c r="BE34" i="55"/>
  <c r="BD34" i="55"/>
  <c r="BC34" i="55"/>
  <c r="BB34" i="55"/>
  <c r="BA34" i="55"/>
  <c r="AZ34" i="55"/>
  <c r="AY34" i="55"/>
  <c r="AX34" i="55"/>
  <c r="AW34" i="55"/>
  <c r="BB33" i="55"/>
  <c r="BF32" i="55"/>
  <c r="BE32" i="55"/>
  <c r="BD32" i="55"/>
  <c r="BC32" i="55"/>
  <c r="BB32" i="55"/>
  <c r="BA32" i="55"/>
  <c r="AZ32" i="55"/>
  <c r="AY32" i="55"/>
  <c r="AX32" i="55"/>
  <c r="AW32" i="55"/>
  <c r="BB31" i="55"/>
  <c r="BF30" i="55"/>
  <c r="BE30" i="55"/>
  <c r="BD30" i="55"/>
  <c r="BC30" i="55"/>
  <c r="BB30" i="55"/>
  <c r="BA30" i="55"/>
  <c r="AZ30" i="55"/>
  <c r="AY30" i="55"/>
  <c r="AX30" i="55"/>
  <c r="AW30" i="55"/>
  <c r="BB29" i="55"/>
  <c r="BF28" i="55"/>
  <c r="BE28" i="55"/>
  <c r="BD28" i="55"/>
  <c r="BC28" i="55"/>
  <c r="BB28" i="55"/>
  <c r="BA28" i="55"/>
  <c r="AZ28" i="55"/>
  <c r="AY28" i="55"/>
  <c r="AX28" i="55"/>
  <c r="AW28" i="55"/>
  <c r="BB27" i="55"/>
  <c r="BF26" i="55"/>
  <c r="BE26" i="55"/>
  <c r="BD26" i="55"/>
  <c r="BC26" i="55"/>
  <c r="BB26" i="55"/>
  <c r="BA26" i="55"/>
  <c r="AZ26" i="55"/>
  <c r="AY26" i="55"/>
  <c r="AX26" i="55"/>
  <c r="AW26" i="55"/>
  <c r="BB25" i="55"/>
  <c r="BF24" i="55"/>
  <c r="BE24" i="55"/>
  <c r="BD24" i="55"/>
  <c r="BC24" i="55"/>
  <c r="BB24" i="55"/>
  <c r="BA24" i="55"/>
  <c r="AZ24" i="55"/>
  <c r="AY24" i="55"/>
  <c r="AX24" i="55"/>
  <c r="AW24" i="55"/>
  <c r="BB23" i="55"/>
  <c r="BF22" i="55"/>
  <c r="BE22" i="55"/>
  <c r="BD22" i="55"/>
  <c r="BC22" i="55"/>
  <c r="BB22" i="55"/>
  <c r="BA22" i="55"/>
  <c r="AZ22" i="55"/>
  <c r="AY22" i="55"/>
  <c r="AX22" i="55"/>
  <c r="AW22" i="55"/>
  <c r="BB21" i="55"/>
  <c r="BF20" i="55"/>
  <c r="BE20" i="55"/>
  <c r="BD20" i="55"/>
  <c r="BC20" i="55"/>
  <c r="BB20" i="55"/>
  <c r="BA20" i="55"/>
  <c r="AZ20" i="55"/>
  <c r="AY20" i="55"/>
  <c r="AX20" i="55"/>
  <c r="AW20" i="55"/>
  <c r="BB19" i="55"/>
  <c r="BF18" i="55"/>
  <c r="BE18" i="55"/>
  <c r="BD18" i="55"/>
  <c r="BC18" i="55"/>
  <c r="BB18" i="55"/>
  <c r="BA18" i="55"/>
  <c r="AZ18" i="55"/>
  <c r="AY18" i="55"/>
  <c r="AX18" i="55"/>
  <c r="AW18" i="55"/>
  <c r="BB17" i="55"/>
  <c r="BF16" i="55"/>
  <c r="BE16" i="55"/>
  <c r="BD16" i="55"/>
  <c r="BC16" i="55"/>
  <c r="BB16" i="55"/>
  <c r="BA16" i="55"/>
  <c r="AZ16" i="55"/>
  <c r="AY16" i="55"/>
  <c r="AX16" i="55"/>
  <c r="AW16" i="55"/>
  <c r="BB15" i="55"/>
  <c r="BF14" i="55"/>
  <c r="BE14" i="55"/>
  <c r="BD14" i="55"/>
  <c r="BC14" i="55"/>
  <c r="BB14" i="55"/>
  <c r="BA14" i="55"/>
  <c r="AZ14" i="55"/>
  <c r="AY14" i="55"/>
  <c r="AX14" i="55"/>
  <c r="AW14" i="55"/>
  <c r="BB13" i="55"/>
  <c r="BF12" i="55"/>
  <c r="BE12" i="55"/>
  <c r="BD12" i="55"/>
  <c r="BC12" i="55"/>
  <c r="BB12" i="55"/>
  <c r="BA12" i="55"/>
  <c r="AZ12" i="55"/>
  <c r="AY12" i="55"/>
  <c r="AX12" i="55"/>
  <c r="AW12" i="55"/>
  <c r="BB11" i="55"/>
  <c r="BF10" i="55"/>
  <c r="BE10" i="55"/>
  <c r="BD10" i="55"/>
  <c r="BC10" i="55"/>
  <c r="BC66" i="55" s="1"/>
  <c r="AJ2" i="55" s="1"/>
  <c r="BB10" i="55"/>
  <c r="BA10" i="55"/>
  <c r="AZ10" i="55"/>
  <c r="AY10" i="55"/>
  <c r="AY66" i="55" s="1"/>
  <c r="T4" i="55" s="1"/>
  <c r="AX10" i="55"/>
  <c r="AW10" i="55"/>
  <c r="BB65" i="54"/>
  <c r="BF64" i="54"/>
  <c r="BE64" i="54"/>
  <c r="BD64" i="54"/>
  <c r="BC64" i="54"/>
  <c r="BB64" i="54"/>
  <c r="BA64" i="54"/>
  <c r="AZ64" i="54"/>
  <c r="AY64" i="54"/>
  <c r="AX64" i="54"/>
  <c r="AW64" i="54"/>
  <c r="BB63" i="54"/>
  <c r="BF62" i="54"/>
  <c r="BE62" i="54"/>
  <c r="BD62" i="54"/>
  <c r="BC62" i="54"/>
  <c r="BB62" i="54"/>
  <c r="BA62" i="54"/>
  <c r="AZ62" i="54"/>
  <c r="AY62" i="54"/>
  <c r="AX62" i="54"/>
  <c r="AW62" i="54"/>
  <c r="BB61" i="54"/>
  <c r="BF60" i="54"/>
  <c r="BE60" i="54"/>
  <c r="BD60" i="54"/>
  <c r="BC60" i="54"/>
  <c r="BB60" i="54"/>
  <c r="BA60" i="54"/>
  <c r="AZ60" i="54"/>
  <c r="AY60" i="54"/>
  <c r="AX60" i="54"/>
  <c r="AW60" i="54"/>
  <c r="BB59" i="54"/>
  <c r="BF58" i="54"/>
  <c r="BE58" i="54"/>
  <c r="BD58" i="54"/>
  <c r="BC58" i="54"/>
  <c r="BB58" i="54"/>
  <c r="BA58" i="54"/>
  <c r="AZ58" i="54"/>
  <c r="AY58" i="54"/>
  <c r="AX58" i="54"/>
  <c r="AW58" i="54"/>
  <c r="BB57" i="54"/>
  <c r="BF56" i="54"/>
  <c r="BE56" i="54"/>
  <c r="BD56" i="54"/>
  <c r="BC56" i="54"/>
  <c r="BB56" i="54"/>
  <c r="BA56" i="54"/>
  <c r="AZ56" i="54"/>
  <c r="AY56" i="54"/>
  <c r="AX56" i="54"/>
  <c r="AW56" i="54"/>
  <c r="BB55" i="54"/>
  <c r="BF54" i="54"/>
  <c r="BE54" i="54"/>
  <c r="BD54" i="54"/>
  <c r="BC54" i="54"/>
  <c r="BB54" i="54"/>
  <c r="BA54" i="54"/>
  <c r="AZ54" i="54"/>
  <c r="AY54" i="54"/>
  <c r="AX54" i="54"/>
  <c r="AW54" i="54"/>
  <c r="BB53" i="54"/>
  <c r="BB49" i="54"/>
  <c r="BF48" i="54"/>
  <c r="BE48" i="54"/>
  <c r="BD48" i="54"/>
  <c r="BC48" i="54"/>
  <c r="BB48" i="54"/>
  <c r="BA48" i="54"/>
  <c r="AZ48" i="54"/>
  <c r="AY48" i="54"/>
  <c r="AX48" i="54"/>
  <c r="AW48" i="54"/>
  <c r="BB47" i="54"/>
  <c r="BF46" i="54"/>
  <c r="BE46" i="54"/>
  <c r="BD46" i="54"/>
  <c r="BC46" i="54"/>
  <c r="BB46" i="54"/>
  <c r="BA46" i="54"/>
  <c r="AZ46" i="54"/>
  <c r="AY46" i="54"/>
  <c r="AX46" i="54"/>
  <c r="AW46" i="54"/>
  <c r="BB45" i="54"/>
  <c r="BF44" i="54"/>
  <c r="BE44" i="54"/>
  <c r="BD44" i="54"/>
  <c r="BC44" i="54"/>
  <c r="BB44" i="54"/>
  <c r="BA44" i="54"/>
  <c r="AZ44" i="54"/>
  <c r="AY44" i="54"/>
  <c r="AX44" i="54"/>
  <c r="AW44" i="54"/>
  <c r="BB43" i="54"/>
  <c r="BF42" i="54"/>
  <c r="BE42" i="54"/>
  <c r="BD42" i="54"/>
  <c r="BC42" i="54"/>
  <c r="BB42" i="54"/>
  <c r="BA42" i="54"/>
  <c r="AZ42" i="54"/>
  <c r="AY42" i="54"/>
  <c r="AX42" i="54"/>
  <c r="AW42" i="54"/>
  <c r="BB41" i="54"/>
  <c r="BB39" i="54"/>
  <c r="BF38" i="54"/>
  <c r="BE38" i="54"/>
  <c r="BD38" i="54"/>
  <c r="BC38" i="54"/>
  <c r="BB38" i="54"/>
  <c r="BA38" i="54"/>
  <c r="AZ38" i="54"/>
  <c r="AY38" i="54"/>
  <c r="AX38" i="54"/>
  <c r="AW38" i="54"/>
  <c r="BB37" i="54"/>
  <c r="BF36" i="54"/>
  <c r="BE36" i="54"/>
  <c r="BD36" i="54"/>
  <c r="BC36" i="54"/>
  <c r="BB36" i="54"/>
  <c r="BA36" i="54"/>
  <c r="AZ36" i="54"/>
  <c r="AY36" i="54"/>
  <c r="AX36" i="54"/>
  <c r="AW36" i="54"/>
  <c r="BB35" i="54"/>
  <c r="BF34" i="54"/>
  <c r="BE34" i="54"/>
  <c r="BD34" i="54"/>
  <c r="BC34" i="54"/>
  <c r="BB34" i="54"/>
  <c r="BA34" i="54"/>
  <c r="AZ34" i="54"/>
  <c r="AY34" i="54"/>
  <c r="AX34" i="54"/>
  <c r="AW34" i="54"/>
  <c r="BB33" i="54"/>
  <c r="BF32" i="54"/>
  <c r="BE32" i="54"/>
  <c r="BD32" i="54"/>
  <c r="BC32" i="54"/>
  <c r="BB32" i="54"/>
  <c r="BA32" i="54"/>
  <c r="AZ32" i="54"/>
  <c r="AY32" i="54"/>
  <c r="AX32" i="54"/>
  <c r="AW32" i="54"/>
  <c r="BB31" i="54"/>
  <c r="BF30" i="54"/>
  <c r="BE30" i="54"/>
  <c r="BD30" i="54"/>
  <c r="BC30" i="54"/>
  <c r="BB30" i="54"/>
  <c r="BA30" i="54"/>
  <c r="AZ30" i="54"/>
  <c r="AY30" i="54"/>
  <c r="AX30" i="54"/>
  <c r="AW30" i="54"/>
  <c r="BB29" i="54"/>
  <c r="BF28" i="54"/>
  <c r="BE28" i="54"/>
  <c r="BD28" i="54"/>
  <c r="BC28" i="54"/>
  <c r="BB28" i="54"/>
  <c r="BA28" i="54"/>
  <c r="AZ28" i="54"/>
  <c r="AY28" i="54"/>
  <c r="AX28" i="54"/>
  <c r="AW28" i="54"/>
  <c r="BB27" i="54"/>
  <c r="BF26" i="54"/>
  <c r="BE26" i="54"/>
  <c r="BD26" i="54"/>
  <c r="BC26" i="54"/>
  <c r="BB26" i="54"/>
  <c r="BA26" i="54"/>
  <c r="AZ26" i="54"/>
  <c r="AY26" i="54"/>
  <c r="AX26" i="54"/>
  <c r="AW26" i="54"/>
  <c r="BB25" i="54"/>
  <c r="BF24" i="54"/>
  <c r="BE24" i="54"/>
  <c r="BD24" i="54"/>
  <c r="BC24" i="54"/>
  <c r="BB24" i="54"/>
  <c r="BA24" i="54"/>
  <c r="AZ24" i="54"/>
  <c r="AY24" i="54"/>
  <c r="AX24" i="54"/>
  <c r="AW24" i="54"/>
  <c r="BB23" i="54"/>
  <c r="BF22" i="54"/>
  <c r="BE22" i="54"/>
  <c r="BD22" i="54"/>
  <c r="BC22" i="54"/>
  <c r="BB22" i="54"/>
  <c r="BA22" i="54"/>
  <c r="AZ22" i="54"/>
  <c r="AY22" i="54"/>
  <c r="AX22" i="54"/>
  <c r="AW22" i="54"/>
  <c r="BB21" i="54"/>
  <c r="BF20" i="54"/>
  <c r="BE20" i="54"/>
  <c r="BD20" i="54"/>
  <c r="BC20" i="54"/>
  <c r="BB20" i="54"/>
  <c r="BA20" i="54"/>
  <c r="AZ20" i="54"/>
  <c r="AY20" i="54"/>
  <c r="AX20" i="54"/>
  <c r="AW20" i="54"/>
  <c r="BB19" i="54"/>
  <c r="BF18" i="54"/>
  <c r="BE18" i="54"/>
  <c r="BD18" i="54"/>
  <c r="BC18" i="54"/>
  <c r="BB18" i="54"/>
  <c r="BA18" i="54"/>
  <c r="AZ18" i="54"/>
  <c r="AY18" i="54"/>
  <c r="AX18" i="54"/>
  <c r="AW18" i="54"/>
  <c r="BB17" i="54"/>
  <c r="BF16" i="54"/>
  <c r="BE16" i="54"/>
  <c r="BD16" i="54"/>
  <c r="BC16" i="54"/>
  <c r="BB16" i="54"/>
  <c r="BA16" i="54"/>
  <c r="AZ16" i="54"/>
  <c r="AY16" i="54"/>
  <c r="AX16" i="54"/>
  <c r="AW16" i="54"/>
  <c r="BB15" i="54"/>
  <c r="BF14" i="54"/>
  <c r="BE14" i="54"/>
  <c r="BD14" i="54"/>
  <c r="BC14" i="54"/>
  <c r="BB14" i="54"/>
  <c r="BA14" i="54"/>
  <c r="AZ14" i="54"/>
  <c r="AY14" i="54"/>
  <c r="AX14" i="54"/>
  <c r="AW14" i="54"/>
  <c r="BB13" i="54"/>
  <c r="BF12" i="54"/>
  <c r="BE12" i="54"/>
  <c r="BD12" i="54"/>
  <c r="BC12" i="54"/>
  <c r="BB12" i="54"/>
  <c r="BA12" i="54"/>
  <c r="AZ12" i="54"/>
  <c r="AY12" i="54"/>
  <c r="AX12" i="54"/>
  <c r="AW12" i="54"/>
  <c r="BB11" i="54"/>
  <c r="BF10" i="54"/>
  <c r="BE10" i="54"/>
  <c r="BD10" i="54"/>
  <c r="BD66" i="54" s="1"/>
  <c r="D52" i="54" s="1"/>
  <c r="BC10" i="54"/>
  <c r="BB10" i="54"/>
  <c r="BA10" i="54"/>
  <c r="AZ10" i="54"/>
  <c r="AZ66" i="54" s="1"/>
  <c r="AJ4" i="54" s="1"/>
  <c r="AY10" i="54"/>
  <c r="AX10" i="54"/>
  <c r="AW10" i="54"/>
  <c r="BB65" i="53"/>
  <c r="BF64" i="53"/>
  <c r="BE64" i="53"/>
  <c r="BD64" i="53"/>
  <c r="BC64" i="53"/>
  <c r="BB64" i="53"/>
  <c r="BA64" i="53"/>
  <c r="AZ64" i="53"/>
  <c r="AY64" i="53"/>
  <c r="AX64" i="53"/>
  <c r="AW64" i="53"/>
  <c r="BB63" i="53"/>
  <c r="BF62" i="53"/>
  <c r="BE62" i="53"/>
  <c r="BD62" i="53"/>
  <c r="BC62" i="53"/>
  <c r="BB62" i="53"/>
  <c r="BA62" i="53"/>
  <c r="AZ62" i="53"/>
  <c r="AY62" i="53"/>
  <c r="AX62" i="53"/>
  <c r="AW62" i="53"/>
  <c r="BB61" i="53"/>
  <c r="BF60" i="53"/>
  <c r="BE60" i="53"/>
  <c r="BD60" i="53"/>
  <c r="BC60" i="53"/>
  <c r="BB60" i="53"/>
  <c r="BA60" i="53"/>
  <c r="AZ60" i="53"/>
  <c r="AY60" i="53"/>
  <c r="AX60" i="53"/>
  <c r="AW60" i="53"/>
  <c r="BB59" i="53"/>
  <c r="BF58" i="53"/>
  <c r="BE58" i="53"/>
  <c r="BD58" i="53"/>
  <c r="BC58" i="53"/>
  <c r="BB58" i="53"/>
  <c r="BA58" i="53"/>
  <c r="AZ58" i="53"/>
  <c r="AY58" i="53"/>
  <c r="AX58" i="53"/>
  <c r="AW58" i="53"/>
  <c r="BB57" i="53"/>
  <c r="BF56" i="53"/>
  <c r="BE56" i="53"/>
  <c r="BD56" i="53"/>
  <c r="BC56" i="53"/>
  <c r="BB56" i="53"/>
  <c r="BA56" i="53"/>
  <c r="AZ56" i="53"/>
  <c r="AY56" i="53"/>
  <c r="AX56" i="53"/>
  <c r="AW56" i="53"/>
  <c r="BB55" i="53"/>
  <c r="BF54" i="53"/>
  <c r="BE54" i="53"/>
  <c r="BD54" i="53"/>
  <c r="BC54" i="53"/>
  <c r="BB54" i="53"/>
  <c r="BA54" i="53"/>
  <c r="AZ54" i="53"/>
  <c r="AY54" i="53"/>
  <c r="AX54" i="53"/>
  <c r="AW54" i="53"/>
  <c r="BB53" i="53"/>
  <c r="BB49" i="53"/>
  <c r="BF48" i="53"/>
  <c r="BE48" i="53"/>
  <c r="BD48" i="53"/>
  <c r="BC48" i="53"/>
  <c r="BB48" i="53"/>
  <c r="BA48" i="53"/>
  <c r="AZ48" i="53"/>
  <c r="AY48" i="53"/>
  <c r="AX48" i="53"/>
  <c r="AW48" i="53"/>
  <c r="BB47" i="53"/>
  <c r="BF46" i="53"/>
  <c r="BE46" i="53"/>
  <c r="BD46" i="53"/>
  <c r="BC46" i="53"/>
  <c r="BB46" i="53"/>
  <c r="BA46" i="53"/>
  <c r="AZ46" i="53"/>
  <c r="AY46" i="53"/>
  <c r="AX46" i="53"/>
  <c r="AW46" i="53"/>
  <c r="BB45" i="53"/>
  <c r="BF44" i="53"/>
  <c r="BE44" i="53"/>
  <c r="BD44" i="53"/>
  <c r="BC44" i="53"/>
  <c r="BB44" i="53"/>
  <c r="BA44" i="53"/>
  <c r="AZ44" i="53"/>
  <c r="AY44" i="53"/>
  <c r="AX44" i="53"/>
  <c r="AW44" i="53"/>
  <c r="BB43" i="53"/>
  <c r="BF42" i="53"/>
  <c r="BE42" i="53"/>
  <c r="BD42" i="53"/>
  <c r="BC42" i="53"/>
  <c r="BB42" i="53"/>
  <c r="BA42" i="53"/>
  <c r="AZ42" i="53"/>
  <c r="AY42" i="53"/>
  <c r="AX42" i="53"/>
  <c r="AW42" i="53"/>
  <c r="BB41" i="53"/>
  <c r="BB39" i="53"/>
  <c r="BF38" i="53"/>
  <c r="BE38" i="53"/>
  <c r="BD38" i="53"/>
  <c r="BC38" i="53"/>
  <c r="BB38" i="53"/>
  <c r="BA38" i="53"/>
  <c r="AZ38" i="53"/>
  <c r="AY38" i="53"/>
  <c r="AX38" i="53"/>
  <c r="AW38" i="53"/>
  <c r="BB37" i="53"/>
  <c r="BF36" i="53"/>
  <c r="BE36" i="53"/>
  <c r="BD36" i="53"/>
  <c r="BC36" i="53"/>
  <c r="BB36" i="53"/>
  <c r="BA36" i="53"/>
  <c r="AZ36" i="53"/>
  <c r="AY36" i="53"/>
  <c r="AX36" i="53"/>
  <c r="AW36" i="53"/>
  <c r="BB35" i="53"/>
  <c r="BF34" i="53"/>
  <c r="BE34" i="53"/>
  <c r="BD34" i="53"/>
  <c r="BC34" i="53"/>
  <c r="BB34" i="53"/>
  <c r="BA34" i="53"/>
  <c r="AZ34" i="53"/>
  <c r="AY34" i="53"/>
  <c r="AX34" i="53"/>
  <c r="AW34" i="53"/>
  <c r="BB33" i="53"/>
  <c r="BF32" i="53"/>
  <c r="BE32" i="53"/>
  <c r="BD32" i="53"/>
  <c r="BC32" i="53"/>
  <c r="BB32" i="53"/>
  <c r="BA32" i="53"/>
  <c r="AZ32" i="53"/>
  <c r="AY32" i="53"/>
  <c r="AX32" i="53"/>
  <c r="AW32" i="53"/>
  <c r="BB31" i="53"/>
  <c r="BF30" i="53"/>
  <c r="BE30" i="53"/>
  <c r="BD30" i="53"/>
  <c r="BC30" i="53"/>
  <c r="BB30" i="53"/>
  <c r="BA30" i="53"/>
  <c r="AZ30" i="53"/>
  <c r="AY30" i="53"/>
  <c r="AX30" i="53"/>
  <c r="AW30" i="53"/>
  <c r="BB29" i="53"/>
  <c r="BF28" i="53"/>
  <c r="BE28" i="53"/>
  <c r="BD28" i="53"/>
  <c r="BC28" i="53"/>
  <c r="BB28" i="53"/>
  <c r="BA28" i="53"/>
  <c r="AZ28" i="53"/>
  <c r="AY28" i="53"/>
  <c r="AX28" i="53"/>
  <c r="AW28" i="53"/>
  <c r="BB27" i="53"/>
  <c r="BF26" i="53"/>
  <c r="BE26" i="53"/>
  <c r="BD26" i="53"/>
  <c r="BC26" i="53"/>
  <c r="BB26" i="53"/>
  <c r="BA26" i="53"/>
  <c r="AZ26" i="53"/>
  <c r="AY26" i="53"/>
  <c r="AX26" i="53"/>
  <c r="AW26" i="53"/>
  <c r="BB25" i="53"/>
  <c r="BF24" i="53"/>
  <c r="BE24" i="53"/>
  <c r="BD24" i="53"/>
  <c r="BC24" i="53"/>
  <c r="BB24" i="53"/>
  <c r="BA24" i="53"/>
  <c r="AZ24" i="53"/>
  <c r="AY24" i="53"/>
  <c r="AX24" i="53"/>
  <c r="AW24" i="53"/>
  <c r="BB23" i="53"/>
  <c r="BF22" i="53"/>
  <c r="BE22" i="53"/>
  <c r="BD22" i="53"/>
  <c r="BC22" i="53"/>
  <c r="BB22" i="53"/>
  <c r="BA22" i="53"/>
  <c r="AZ22" i="53"/>
  <c r="AY22" i="53"/>
  <c r="AX22" i="53"/>
  <c r="AW22" i="53"/>
  <c r="BB21" i="53"/>
  <c r="BF20" i="53"/>
  <c r="BE20" i="53"/>
  <c r="BD20" i="53"/>
  <c r="BC20" i="53"/>
  <c r="BB20" i="53"/>
  <c r="BA20" i="53"/>
  <c r="AZ20" i="53"/>
  <c r="AY20" i="53"/>
  <c r="AX20" i="53"/>
  <c r="AW20" i="53"/>
  <c r="BB19" i="53"/>
  <c r="BF18" i="53"/>
  <c r="BE18" i="53"/>
  <c r="BD18" i="53"/>
  <c r="BC18" i="53"/>
  <c r="BB18" i="53"/>
  <c r="BA18" i="53"/>
  <c r="AZ18" i="53"/>
  <c r="AY18" i="53"/>
  <c r="AX18" i="53"/>
  <c r="AW18" i="53"/>
  <c r="BB17" i="53"/>
  <c r="BF16" i="53"/>
  <c r="BE16" i="53"/>
  <c r="BD16" i="53"/>
  <c r="BC16" i="53"/>
  <c r="BB16" i="53"/>
  <c r="BA16" i="53"/>
  <c r="AZ16" i="53"/>
  <c r="AY16" i="53"/>
  <c r="AX16" i="53"/>
  <c r="AW16" i="53"/>
  <c r="BB15" i="53"/>
  <c r="BF14" i="53"/>
  <c r="BE14" i="53"/>
  <c r="BD14" i="53"/>
  <c r="BC14" i="53"/>
  <c r="BB14" i="53"/>
  <c r="BA14" i="53"/>
  <c r="AZ14" i="53"/>
  <c r="AY14" i="53"/>
  <c r="AX14" i="53"/>
  <c r="AW14" i="53"/>
  <c r="BB13" i="53"/>
  <c r="BF12" i="53"/>
  <c r="BE12" i="53"/>
  <c r="BD12" i="53"/>
  <c r="BC12" i="53"/>
  <c r="BB12" i="53"/>
  <c r="BA12" i="53"/>
  <c r="AZ12" i="53"/>
  <c r="AY12" i="53"/>
  <c r="AX12" i="53"/>
  <c r="AW12" i="53"/>
  <c r="BB11" i="53"/>
  <c r="BF10" i="53"/>
  <c r="BE10" i="53"/>
  <c r="BE66" i="53" s="1"/>
  <c r="T52" i="53" s="1"/>
  <c r="BD10" i="53"/>
  <c r="BC10" i="53"/>
  <c r="BB10" i="53"/>
  <c r="BA10" i="53"/>
  <c r="BA66" i="53" s="1"/>
  <c r="AZ10" i="53"/>
  <c r="AY10" i="53"/>
  <c r="AX10" i="53"/>
  <c r="AW10" i="53"/>
  <c r="AW66" i="53" s="1"/>
  <c r="D4" i="53" s="1"/>
  <c r="BB65" i="52"/>
  <c r="BF64" i="52"/>
  <c r="BE64" i="52"/>
  <c r="BD64" i="52"/>
  <c r="BC64" i="52"/>
  <c r="BB64" i="52"/>
  <c r="BA64" i="52"/>
  <c r="AZ64" i="52"/>
  <c r="AY64" i="52"/>
  <c r="AX64" i="52"/>
  <c r="AW64" i="52"/>
  <c r="BB63" i="52"/>
  <c r="BF62" i="52"/>
  <c r="BE62" i="52"/>
  <c r="BD62" i="52"/>
  <c r="BC62" i="52"/>
  <c r="BB62" i="52"/>
  <c r="BA62" i="52"/>
  <c r="AZ62" i="52"/>
  <c r="AY62" i="52"/>
  <c r="AX62" i="52"/>
  <c r="AW62" i="52"/>
  <c r="BB61" i="52"/>
  <c r="BF60" i="52"/>
  <c r="BE60" i="52"/>
  <c r="BD60" i="52"/>
  <c r="BC60" i="52"/>
  <c r="BB60" i="52"/>
  <c r="BA60" i="52"/>
  <c r="AZ60" i="52"/>
  <c r="AY60" i="52"/>
  <c r="AX60" i="52"/>
  <c r="AW60" i="52"/>
  <c r="BB59" i="52"/>
  <c r="BF58" i="52"/>
  <c r="BE58" i="52"/>
  <c r="BD58" i="52"/>
  <c r="BC58" i="52"/>
  <c r="BB58" i="52"/>
  <c r="BA58" i="52"/>
  <c r="AZ58" i="52"/>
  <c r="AY58" i="52"/>
  <c r="AX58" i="52"/>
  <c r="AW58" i="52"/>
  <c r="BB57" i="52"/>
  <c r="BF56" i="52"/>
  <c r="BE56" i="52"/>
  <c r="BD56" i="52"/>
  <c r="BC56" i="52"/>
  <c r="BB56" i="52"/>
  <c r="BA56" i="52"/>
  <c r="AZ56" i="52"/>
  <c r="AY56" i="52"/>
  <c r="AX56" i="52"/>
  <c r="AW56" i="52"/>
  <c r="BB55" i="52"/>
  <c r="BF54" i="52"/>
  <c r="BE54" i="52"/>
  <c r="BD54" i="52"/>
  <c r="BC54" i="52"/>
  <c r="BB54" i="52"/>
  <c r="BA54" i="52"/>
  <c r="AZ54" i="52"/>
  <c r="AY54" i="52"/>
  <c r="AX54" i="52"/>
  <c r="AW54" i="52"/>
  <c r="BB53" i="52"/>
  <c r="BB49" i="52"/>
  <c r="BF48" i="52"/>
  <c r="BE48" i="52"/>
  <c r="BD48" i="52"/>
  <c r="BC48" i="52"/>
  <c r="BB48" i="52"/>
  <c r="BA48" i="52"/>
  <c r="AZ48" i="52"/>
  <c r="AY48" i="52"/>
  <c r="AX48" i="52"/>
  <c r="AW48" i="52"/>
  <c r="BB47" i="52"/>
  <c r="BF46" i="52"/>
  <c r="BE46" i="52"/>
  <c r="BD46" i="52"/>
  <c r="BC46" i="52"/>
  <c r="BB46" i="52"/>
  <c r="BA46" i="52"/>
  <c r="AZ46" i="52"/>
  <c r="AY46" i="52"/>
  <c r="AX46" i="52"/>
  <c r="AW46" i="52"/>
  <c r="BB45" i="52"/>
  <c r="BF44" i="52"/>
  <c r="BE44" i="52"/>
  <c r="BD44" i="52"/>
  <c r="BC44" i="52"/>
  <c r="BB44" i="52"/>
  <c r="BA44" i="52"/>
  <c r="AZ44" i="52"/>
  <c r="AY44" i="52"/>
  <c r="AX44" i="52"/>
  <c r="AW44" i="52"/>
  <c r="BB43" i="52"/>
  <c r="BF42" i="52"/>
  <c r="BE42" i="52"/>
  <c r="BD42" i="52"/>
  <c r="BC42" i="52"/>
  <c r="BB42" i="52"/>
  <c r="BA42" i="52"/>
  <c r="AZ42" i="52"/>
  <c r="AY42" i="52"/>
  <c r="AX42" i="52"/>
  <c r="AW42" i="52"/>
  <c r="BB41" i="52"/>
  <c r="BB39" i="52"/>
  <c r="BF38" i="52"/>
  <c r="BE38" i="52"/>
  <c r="BD38" i="52"/>
  <c r="BC38" i="52"/>
  <c r="BB38" i="52"/>
  <c r="BA38" i="52"/>
  <c r="AZ38" i="52"/>
  <c r="AY38" i="52"/>
  <c r="AX38" i="52"/>
  <c r="AW38" i="52"/>
  <c r="BB37" i="52"/>
  <c r="BF36" i="52"/>
  <c r="BE36" i="52"/>
  <c r="BD36" i="52"/>
  <c r="BC36" i="52"/>
  <c r="BB36" i="52"/>
  <c r="BA36" i="52"/>
  <c r="AZ36" i="52"/>
  <c r="AY36" i="52"/>
  <c r="AX36" i="52"/>
  <c r="AW36" i="52"/>
  <c r="BB35" i="52"/>
  <c r="BF34" i="52"/>
  <c r="BE34" i="52"/>
  <c r="BD34" i="52"/>
  <c r="BC34" i="52"/>
  <c r="BB34" i="52"/>
  <c r="BA34" i="52"/>
  <c r="AZ34" i="52"/>
  <c r="AY34" i="52"/>
  <c r="AX34" i="52"/>
  <c r="AW34" i="52"/>
  <c r="BB33" i="52"/>
  <c r="BF32" i="52"/>
  <c r="BE32" i="52"/>
  <c r="BD32" i="52"/>
  <c r="BC32" i="52"/>
  <c r="BB32" i="52"/>
  <c r="BA32" i="52"/>
  <c r="AZ32" i="52"/>
  <c r="AY32" i="52"/>
  <c r="AX32" i="52"/>
  <c r="AW32" i="52"/>
  <c r="BB31" i="52"/>
  <c r="BF30" i="52"/>
  <c r="BE30" i="52"/>
  <c r="BD30" i="52"/>
  <c r="BC30" i="52"/>
  <c r="BB30" i="52"/>
  <c r="BA30" i="52"/>
  <c r="AZ30" i="52"/>
  <c r="AY30" i="52"/>
  <c r="AX30" i="52"/>
  <c r="AW30" i="52"/>
  <c r="BB29" i="52"/>
  <c r="BF28" i="52"/>
  <c r="BE28" i="52"/>
  <c r="BD28" i="52"/>
  <c r="BC28" i="52"/>
  <c r="BB28" i="52"/>
  <c r="BA28" i="52"/>
  <c r="AZ28" i="52"/>
  <c r="AY28" i="52"/>
  <c r="AX28" i="52"/>
  <c r="AW28" i="52"/>
  <c r="BB27" i="52"/>
  <c r="BF26" i="52"/>
  <c r="BE26" i="52"/>
  <c r="BD26" i="52"/>
  <c r="BC26" i="52"/>
  <c r="BB26" i="52"/>
  <c r="BA26" i="52"/>
  <c r="AZ26" i="52"/>
  <c r="AY26" i="52"/>
  <c r="AX26" i="52"/>
  <c r="AW26" i="52"/>
  <c r="BB25" i="52"/>
  <c r="BF24" i="52"/>
  <c r="BE24" i="52"/>
  <c r="BD24" i="52"/>
  <c r="BC24" i="52"/>
  <c r="BB24" i="52"/>
  <c r="BA24" i="52"/>
  <c r="AZ24" i="52"/>
  <c r="AY24" i="52"/>
  <c r="AX24" i="52"/>
  <c r="AW24" i="52"/>
  <c r="BB23" i="52"/>
  <c r="BF22" i="52"/>
  <c r="BE22" i="52"/>
  <c r="BD22" i="52"/>
  <c r="BC22" i="52"/>
  <c r="BB22" i="52"/>
  <c r="BA22" i="52"/>
  <c r="AZ22" i="52"/>
  <c r="AY22" i="52"/>
  <c r="AX22" i="52"/>
  <c r="AW22" i="52"/>
  <c r="BB21" i="52"/>
  <c r="BF20" i="52"/>
  <c r="BE20" i="52"/>
  <c r="BD20" i="52"/>
  <c r="BC20" i="52"/>
  <c r="BB20" i="52"/>
  <c r="BA20" i="52"/>
  <c r="AZ20" i="52"/>
  <c r="AY20" i="52"/>
  <c r="AX20" i="52"/>
  <c r="AW20" i="52"/>
  <c r="BB19" i="52"/>
  <c r="BF18" i="52"/>
  <c r="BE18" i="52"/>
  <c r="BD18" i="52"/>
  <c r="BC18" i="52"/>
  <c r="BB18" i="52"/>
  <c r="BA18" i="52"/>
  <c r="AZ18" i="52"/>
  <c r="AY18" i="52"/>
  <c r="AX18" i="52"/>
  <c r="AW18" i="52"/>
  <c r="BB17" i="52"/>
  <c r="BF16" i="52"/>
  <c r="BE16" i="52"/>
  <c r="BD16" i="52"/>
  <c r="BC16" i="52"/>
  <c r="BB16" i="52"/>
  <c r="BA16" i="52"/>
  <c r="AZ16" i="52"/>
  <c r="AY16" i="52"/>
  <c r="AX16" i="52"/>
  <c r="AW16" i="52"/>
  <c r="BB15" i="52"/>
  <c r="BF14" i="52"/>
  <c r="BE14" i="52"/>
  <c r="BD14" i="52"/>
  <c r="BC14" i="52"/>
  <c r="BB14" i="52"/>
  <c r="BA14" i="52"/>
  <c r="AZ14" i="52"/>
  <c r="AY14" i="52"/>
  <c r="AX14" i="52"/>
  <c r="AW14" i="52"/>
  <c r="BB13" i="52"/>
  <c r="BF12" i="52"/>
  <c r="BE12" i="52"/>
  <c r="BD12" i="52"/>
  <c r="BC12" i="52"/>
  <c r="BB12" i="52"/>
  <c r="BA12" i="52"/>
  <c r="AZ12" i="52"/>
  <c r="AY12" i="52"/>
  <c r="AX12" i="52"/>
  <c r="AW12" i="52"/>
  <c r="BB11" i="52"/>
  <c r="BF10" i="52"/>
  <c r="BF66" i="52" s="1"/>
  <c r="AJ52" i="52" s="1"/>
  <c r="BE10" i="52"/>
  <c r="BD10" i="52"/>
  <c r="BC10" i="52"/>
  <c r="BB10" i="52"/>
  <c r="BB66" i="52" s="1"/>
  <c r="BA10" i="52"/>
  <c r="AZ10" i="52"/>
  <c r="AY10" i="52"/>
  <c r="AX10" i="52"/>
  <c r="AX66" i="52" s="1"/>
  <c r="D6" i="52" s="1"/>
  <c r="AW10" i="52"/>
  <c r="BB65" i="51"/>
  <c r="BF64" i="51"/>
  <c r="BE64" i="51"/>
  <c r="BD64" i="51"/>
  <c r="BC64" i="51"/>
  <c r="BB64" i="51"/>
  <c r="BA64" i="51"/>
  <c r="AZ64" i="51"/>
  <c r="AY64" i="51"/>
  <c r="AX64" i="51"/>
  <c r="AW64" i="51"/>
  <c r="BB63" i="51"/>
  <c r="BF62" i="51"/>
  <c r="BE62" i="51"/>
  <c r="BD62" i="51"/>
  <c r="BC62" i="51"/>
  <c r="BB62" i="51"/>
  <c r="BA62" i="51"/>
  <c r="AZ62" i="51"/>
  <c r="AY62" i="51"/>
  <c r="AX62" i="51"/>
  <c r="AW62" i="51"/>
  <c r="BB61" i="51"/>
  <c r="BF60" i="51"/>
  <c r="BE60" i="51"/>
  <c r="BD60" i="51"/>
  <c r="BC60" i="51"/>
  <c r="BB60" i="51"/>
  <c r="BA60" i="51"/>
  <c r="AZ60" i="51"/>
  <c r="AY60" i="51"/>
  <c r="AX60" i="51"/>
  <c r="AW60" i="51"/>
  <c r="BB59" i="51"/>
  <c r="BF58" i="51"/>
  <c r="BE58" i="51"/>
  <c r="BD58" i="51"/>
  <c r="BC58" i="51"/>
  <c r="BB58" i="51"/>
  <c r="BA58" i="51"/>
  <c r="AZ58" i="51"/>
  <c r="AY58" i="51"/>
  <c r="AX58" i="51"/>
  <c r="AW58" i="51"/>
  <c r="BB57" i="51"/>
  <c r="BF56" i="51"/>
  <c r="BE56" i="51"/>
  <c r="BD56" i="51"/>
  <c r="BC56" i="51"/>
  <c r="BB56" i="51"/>
  <c r="BA56" i="51"/>
  <c r="AZ56" i="51"/>
  <c r="AY56" i="51"/>
  <c r="AX56" i="51"/>
  <c r="AW56" i="51"/>
  <c r="BB55" i="51"/>
  <c r="BF54" i="51"/>
  <c r="BE54" i="51"/>
  <c r="BD54" i="51"/>
  <c r="BC54" i="51"/>
  <c r="BB54" i="51"/>
  <c r="BA54" i="51"/>
  <c r="AZ54" i="51"/>
  <c r="AY54" i="51"/>
  <c r="AX54" i="51"/>
  <c r="AW54" i="51"/>
  <c r="BB53" i="51"/>
  <c r="BB49" i="51"/>
  <c r="BF48" i="51"/>
  <c r="BE48" i="51"/>
  <c r="BD48" i="51"/>
  <c r="BC48" i="51"/>
  <c r="BB48" i="51"/>
  <c r="BA48" i="51"/>
  <c r="AZ48" i="51"/>
  <c r="AY48" i="51"/>
  <c r="AX48" i="51"/>
  <c r="AW48" i="51"/>
  <c r="BB47" i="51"/>
  <c r="BF46" i="51"/>
  <c r="BE46" i="51"/>
  <c r="BD46" i="51"/>
  <c r="BC46" i="51"/>
  <c r="BB46" i="51"/>
  <c r="BA46" i="51"/>
  <c r="AZ46" i="51"/>
  <c r="AY46" i="51"/>
  <c r="AX46" i="51"/>
  <c r="AW46" i="51"/>
  <c r="BB45" i="51"/>
  <c r="BF44" i="51"/>
  <c r="BE44" i="51"/>
  <c r="BD44" i="51"/>
  <c r="BC44" i="51"/>
  <c r="BB44" i="51"/>
  <c r="BA44" i="51"/>
  <c r="AZ44" i="51"/>
  <c r="AY44" i="51"/>
  <c r="AX44" i="51"/>
  <c r="AW44" i="51"/>
  <c r="BB43" i="51"/>
  <c r="BF42" i="51"/>
  <c r="BE42" i="51"/>
  <c r="BD42" i="51"/>
  <c r="BC42" i="51"/>
  <c r="BB42" i="51"/>
  <c r="BA42" i="51"/>
  <c r="AZ42" i="51"/>
  <c r="AY42" i="51"/>
  <c r="AX42" i="51"/>
  <c r="AW42" i="51"/>
  <c r="BB41" i="51"/>
  <c r="BB39" i="51"/>
  <c r="BF38" i="51"/>
  <c r="BE38" i="51"/>
  <c r="BD38" i="51"/>
  <c r="BC38" i="51"/>
  <c r="BB38" i="51"/>
  <c r="BA38" i="51"/>
  <c r="AZ38" i="51"/>
  <c r="AY38" i="51"/>
  <c r="AX38" i="51"/>
  <c r="AW38" i="51"/>
  <c r="BB37" i="51"/>
  <c r="BF36" i="51"/>
  <c r="BE36" i="51"/>
  <c r="BD36" i="51"/>
  <c r="BC36" i="51"/>
  <c r="BB36" i="51"/>
  <c r="BA36" i="51"/>
  <c r="AZ36" i="51"/>
  <c r="AY36" i="51"/>
  <c r="AX36" i="51"/>
  <c r="AW36" i="51"/>
  <c r="BB35" i="51"/>
  <c r="BF34" i="51"/>
  <c r="BE34" i="51"/>
  <c r="BD34" i="51"/>
  <c r="BC34" i="51"/>
  <c r="BB34" i="51"/>
  <c r="BA34" i="51"/>
  <c r="AZ34" i="51"/>
  <c r="AY34" i="51"/>
  <c r="AX34" i="51"/>
  <c r="AW34" i="51"/>
  <c r="BB33" i="51"/>
  <c r="BF32" i="51"/>
  <c r="BE32" i="51"/>
  <c r="BD32" i="51"/>
  <c r="BC32" i="51"/>
  <c r="BB32" i="51"/>
  <c r="BA32" i="51"/>
  <c r="AZ32" i="51"/>
  <c r="AY32" i="51"/>
  <c r="AX32" i="51"/>
  <c r="AW32" i="51"/>
  <c r="BB31" i="51"/>
  <c r="BF30" i="51"/>
  <c r="BE30" i="51"/>
  <c r="BD30" i="51"/>
  <c r="BC30" i="51"/>
  <c r="BB30" i="51"/>
  <c r="BA30" i="51"/>
  <c r="AZ30" i="51"/>
  <c r="AY30" i="51"/>
  <c r="AX30" i="51"/>
  <c r="AW30" i="51"/>
  <c r="BB29" i="51"/>
  <c r="BF28" i="51"/>
  <c r="BE28" i="51"/>
  <c r="BD28" i="51"/>
  <c r="BC28" i="51"/>
  <c r="BB28" i="51"/>
  <c r="BA28" i="51"/>
  <c r="AZ28" i="51"/>
  <c r="AY28" i="51"/>
  <c r="AX28" i="51"/>
  <c r="AW28" i="51"/>
  <c r="BB27" i="51"/>
  <c r="BF26" i="51"/>
  <c r="BE26" i="51"/>
  <c r="BD26" i="51"/>
  <c r="BC26" i="51"/>
  <c r="BB26" i="51"/>
  <c r="BA26" i="51"/>
  <c r="AZ26" i="51"/>
  <c r="AY26" i="51"/>
  <c r="AX26" i="51"/>
  <c r="AW26" i="51"/>
  <c r="BB25" i="51"/>
  <c r="BF24" i="51"/>
  <c r="BE24" i="51"/>
  <c r="BD24" i="51"/>
  <c r="BC24" i="51"/>
  <c r="BB24" i="51"/>
  <c r="BA24" i="51"/>
  <c r="AZ24" i="51"/>
  <c r="AY24" i="51"/>
  <c r="AX24" i="51"/>
  <c r="AW24" i="51"/>
  <c r="BB23" i="51"/>
  <c r="BF22" i="51"/>
  <c r="BE22" i="51"/>
  <c r="BD22" i="51"/>
  <c r="BC22" i="51"/>
  <c r="BB22" i="51"/>
  <c r="BA22" i="51"/>
  <c r="AZ22" i="51"/>
  <c r="AY22" i="51"/>
  <c r="AX22" i="51"/>
  <c r="AW22" i="51"/>
  <c r="BB21" i="51"/>
  <c r="BF20" i="51"/>
  <c r="BE20" i="51"/>
  <c r="BD20" i="51"/>
  <c r="BC20" i="51"/>
  <c r="BB20" i="51"/>
  <c r="BA20" i="51"/>
  <c r="AZ20" i="51"/>
  <c r="AY20" i="51"/>
  <c r="AX20" i="51"/>
  <c r="AW20" i="51"/>
  <c r="BB19" i="51"/>
  <c r="BF18" i="51"/>
  <c r="BE18" i="51"/>
  <c r="BD18" i="51"/>
  <c r="BC18" i="51"/>
  <c r="BB18" i="51"/>
  <c r="BA18" i="51"/>
  <c r="AZ18" i="51"/>
  <c r="AY18" i="51"/>
  <c r="AX18" i="51"/>
  <c r="AW18" i="51"/>
  <c r="BB17" i="51"/>
  <c r="BF16" i="51"/>
  <c r="BE16" i="51"/>
  <c r="BD16" i="51"/>
  <c r="BC16" i="51"/>
  <c r="BB16" i="51"/>
  <c r="BA16" i="51"/>
  <c r="AZ16" i="51"/>
  <c r="AY16" i="51"/>
  <c r="AX16" i="51"/>
  <c r="AW16" i="51"/>
  <c r="BB15" i="51"/>
  <c r="BF14" i="51"/>
  <c r="BE14" i="51"/>
  <c r="BD14" i="51"/>
  <c r="BC14" i="51"/>
  <c r="BB14" i="51"/>
  <c r="BA14" i="51"/>
  <c r="AZ14" i="51"/>
  <c r="AY14" i="51"/>
  <c r="AX14" i="51"/>
  <c r="AW14" i="51"/>
  <c r="BB13" i="51"/>
  <c r="BF12" i="51"/>
  <c r="BE12" i="51"/>
  <c r="BD12" i="51"/>
  <c r="BC12" i="51"/>
  <c r="BB12" i="51"/>
  <c r="BA12" i="51"/>
  <c r="AZ12" i="51"/>
  <c r="AY12" i="51"/>
  <c r="AX12" i="51"/>
  <c r="AW12" i="51"/>
  <c r="BB11" i="51"/>
  <c r="BF10" i="51"/>
  <c r="BE10" i="51"/>
  <c r="BD10" i="51"/>
  <c r="BC10" i="51"/>
  <c r="BC66" i="51" s="1"/>
  <c r="AJ2" i="51" s="1"/>
  <c r="BB10" i="51"/>
  <c r="BA10" i="51"/>
  <c r="AZ10" i="51"/>
  <c r="AY10" i="51"/>
  <c r="AY66" i="51" s="1"/>
  <c r="T4" i="51" s="1"/>
  <c r="AX10" i="51"/>
  <c r="AW10" i="51"/>
  <c r="BB65" i="50"/>
  <c r="BF64" i="50"/>
  <c r="BE64" i="50"/>
  <c r="BD64" i="50"/>
  <c r="BC64" i="50"/>
  <c r="BB64" i="50"/>
  <c r="BA64" i="50"/>
  <c r="AZ64" i="50"/>
  <c r="AY64" i="50"/>
  <c r="AX64" i="50"/>
  <c r="AW64" i="50"/>
  <c r="BB63" i="50"/>
  <c r="BF62" i="50"/>
  <c r="BE62" i="50"/>
  <c r="BD62" i="50"/>
  <c r="BC62" i="50"/>
  <c r="BB62" i="50"/>
  <c r="BA62" i="50"/>
  <c r="AZ62" i="50"/>
  <c r="AY62" i="50"/>
  <c r="AX62" i="50"/>
  <c r="AW62" i="50"/>
  <c r="BB61" i="50"/>
  <c r="BF60" i="50"/>
  <c r="BE60" i="50"/>
  <c r="BD60" i="50"/>
  <c r="BC60" i="50"/>
  <c r="BB60" i="50"/>
  <c r="BA60" i="50"/>
  <c r="AZ60" i="50"/>
  <c r="AY60" i="50"/>
  <c r="AX60" i="50"/>
  <c r="AW60" i="50"/>
  <c r="BB59" i="50"/>
  <c r="BF58" i="50"/>
  <c r="BE58" i="50"/>
  <c r="BD58" i="50"/>
  <c r="BC58" i="50"/>
  <c r="BB58" i="50"/>
  <c r="BA58" i="50"/>
  <c r="AZ58" i="50"/>
  <c r="AY58" i="50"/>
  <c r="AX58" i="50"/>
  <c r="AW58" i="50"/>
  <c r="BB57" i="50"/>
  <c r="BF56" i="50"/>
  <c r="BE56" i="50"/>
  <c r="BD56" i="50"/>
  <c r="BC56" i="50"/>
  <c r="BB56" i="50"/>
  <c r="BA56" i="50"/>
  <c r="AZ56" i="50"/>
  <c r="AY56" i="50"/>
  <c r="AX56" i="50"/>
  <c r="AW56" i="50"/>
  <c r="BB55" i="50"/>
  <c r="BF54" i="50"/>
  <c r="BE54" i="50"/>
  <c r="BD54" i="50"/>
  <c r="BC54" i="50"/>
  <c r="BB54" i="50"/>
  <c r="BA54" i="50"/>
  <c r="AZ54" i="50"/>
  <c r="AY54" i="50"/>
  <c r="AX54" i="50"/>
  <c r="AW54" i="50"/>
  <c r="BB53" i="50"/>
  <c r="BB49" i="50"/>
  <c r="BF48" i="50"/>
  <c r="BE48" i="50"/>
  <c r="BD48" i="50"/>
  <c r="BC48" i="50"/>
  <c r="BB48" i="50"/>
  <c r="BA48" i="50"/>
  <c r="AZ48" i="50"/>
  <c r="AY48" i="50"/>
  <c r="AX48" i="50"/>
  <c r="AW48" i="50"/>
  <c r="BB47" i="50"/>
  <c r="BF46" i="50"/>
  <c r="BE46" i="50"/>
  <c r="BD46" i="50"/>
  <c r="BC46" i="50"/>
  <c r="BB46" i="50"/>
  <c r="BA46" i="50"/>
  <c r="AZ46" i="50"/>
  <c r="AY46" i="50"/>
  <c r="AX46" i="50"/>
  <c r="AW46" i="50"/>
  <c r="BB45" i="50"/>
  <c r="BF44" i="50"/>
  <c r="BE44" i="50"/>
  <c r="BD44" i="50"/>
  <c r="BC44" i="50"/>
  <c r="BB44" i="50"/>
  <c r="BA44" i="50"/>
  <c r="AZ44" i="50"/>
  <c r="AY44" i="50"/>
  <c r="AX44" i="50"/>
  <c r="AW44" i="50"/>
  <c r="BB43" i="50"/>
  <c r="BF42" i="50"/>
  <c r="BE42" i="50"/>
  <c r="BD42" i="50"/>
  <c r="BC42" i="50"/>
  <c r="BB42" i="50"/>
  <c r="BA42" i="50"/>
  <c r="AZ42" i="50"/>
  <c r="AY42" i="50"/>
  <c r="AX42" i="50"/>
  <c r="AW42" i="50"/>
  <c r="BB41" i="50"/>
  <c r="BB39" i="50"/>
  <c r="BF38" i="50"/>
  <c r="BE38" i="50"/>
  <c r="BD38" i="50"/>
  <c r="BC38" i="50"/>
  <c r="BB38" i="50"/>
  <c r="BA38" i="50"/>
  <c r="AZ38" i="50"/>
  <c r="AY38" i="50"/>
  <c r="AX38" i="50"/>
  <c r="AW38" i="50"/>
  <c r="BB37" i="50"/>
  <c r="BF36" i="50"/>
  <c r="BE36" i="50"/>
  <c r="BD36" i="50"/>
  <c r="BC36" i="50"/>
  <c r="BB36" i="50"/>
  <c r="BA36" i="50"/>
  <c r="AZ36" i="50"/>
  <c r="AY36" i="50"/>
  <c r="AX36" i="50"/>
  <c r="AW36" i="50"/>
  <c r="BB35" i="50"/>
  <c r="BF34" i="50"/>
  <c r="BE34" i="50"/>
  <c r="BD34" i="50"/>
  <c r="BC34" i="50"/>
  <c r="BB34" i="50"/>
  <c r="BA34" i="50"/>
  <c r="AZ34" i="50"/>
  <c r="AY34" i="50"/>
  <c r="AX34" i="50"/>
  <c r="AW34" i="50"/>
  <c r="BB33" i="50"/>
  <c r="BF32" i="50"/>
  <c r="BE32" i="50"/>
  <c r="BD32" i="50"/>
  <c r="BC32" i="50"/>
  <c r="BB32" i="50"/>
  <c r="BA32" i="50"/>
  <c r="AZ32" i="50"/>
  <c r="AY32" i="50"/>
  <c r="AX32" i="50"/>
  <c r="AW32" i="50"/>
  <c r="BB31" i="50"/>
  <c r="BF30" i="50"/>
  <c r="BE30" i="50"/>
  <c r="BD30" i="50"/>
  <c r="BC30" i="50"/>
  <c r="BB30" i="50"/>
  <c r="BA30" i="50"/>
  <c r="AZ30" i="50"/>
  <c r="AY30" i="50"/>
  <c r="AX30" i="50"/>
  <c r="AW30" i="50"/>
  <c r="BB29" i="50"/>
  <c r="BF28" i="50"/>
  <c r="BE28" i="50"/>
  <c r="BD28" i="50"/>
  <c r="BC28" i="50"/>
  <c r="BB28" i="50"/>
  <c r="BA28" i="50"/>
  <c r="AZ28" i="50"/>
  <c r="AY28" i="50"/>
  <c r="AX28" i="50"/>
  <c r="AW28" i="50"/>
  <c r="BB27" i="50"/>
  <c r="BF26" i="50"/>
  <c r="BE26" i="50"/>
  <c r="BD26" i="50"/>
  <c r="BC26" i="50"/>
  <c r="BB26" i="50"/>
  <c r="BA26" i="50"/>
  <c r="AZ26" i="50"/>
  <c r="AY26" i="50"/>
  <c r="AX26" i="50"/>
  <c r="AW26" i="50"/>
  <c r="BB25" i="50"/>
  <c r="BF24" i="50"/>
  <c r="BE24" i="50"/>
  <c r="BD24" i="50"/>
  <c r="BC24" i="50"/>
  <c r="BB24" i="50"/>
  <c r="BA24" i="50"/>
  <c r="AZ24" i="50"/>
  <c r="AY24" i="50"/>
  <c r="AX24" i="50"/>
  <c r="AW24" i="50"/>
  <c r="BB23" i="50"/>
  <c r="BF22" i="50"/>
  <c r="BE22" i="50"/>
  <c r="BD22" i="50"/>
  <c r="BC22" i="50"/>
  <c r="BB22" i="50"/>
  <c r="BA22" i="50"/>
  <c r="AZ22" i="50"/>
  <c r="AY22" i="50"/>
  <c r="AX22" i="50"/>
  <c r="AW22" i="50"/>
  <c r="BB21" i="50"/>
  <c r="BF20" i="50"/>
  <c r="BE20" i="50"/>
  <c r="BD20" i="50"/>
  <c r="BC20" i="50"/>
  <c r="BB20" i="50"/>
  <c r="BA20" i="50"/>
  <c r="AZ20" i="50"/>
  <c r="AY20" i="50"/>
  <c r="AX20" i="50"/>
  <c r="AW20" i="50"/>
  <c r="BB19" i="50"/>
  <c r="BF18" i="50"/>
  <c r="BE18" i="50"/>
  <c r="BD18" i="50"/>
  <c r="BC18" i="50"/>
  <c r="BB18" i="50"/>
  <c r="BA18" i="50"/>
  <c r="AZ18" i="50"/>
  <c r="AY18" i="50"/>
  <c r="AX18" i="50"/>
  <c r="AW18" i="50"/>
  <c r="BB17" i="50"/>
  <c r="BF16" i="50"/>
  <c r="BE16" i="50"/>
  <c r="BD16" i="50"/>
  <c r="BC16" i="50"/>
  <c r="BB16" i="50"/>
  <c r="BA16" i="50"/>
  <c r="AZ16" i="50"/>
  <c r="AY16" i="50"/>
  <c r="AX16" i="50"/>
  <c r="AW16" i="50"/>
  <c r="BB15" i="50"/>
  <c r="BF14" i="50"/>
  <c r="BE14" i="50"/>
  <c r="BD14" i="50"/>
  <c r="BC14" i="50"/>
  <c r="BB14" i="50"/>
  <c r="BA14" i="50"/>
  <c r="AZ14" i="50"/>
  <c r="AY14" i="50"/>
  <c r="AX14" i="50"/>
  <c r="AW14" i="50"/>
  <c r="BB13" i="50"/>
  <c r="BF12" i="50"/>
  <c r="BE12" i="50"/>
  <c r="BD12" i="50"/>
  <c r="BC12" i="50"/>
  <c r="BB12" i="50"/>
  <c r="BA12" i="50"/>
  <c r="AZ12" i="50"/>
  <c r="AY12" i="50"/>
  <c r="AX12" i="50"/>
  <c r="AW12" i="50"/>
  <c r="BB11" i="50"/>
  <c r="BF10" i="50"/>
  <c r="BE10" i="50"/>
  <c r="BD10" i="50"/>
  <c r="BD66" i="50" s="1"/>
  <c r="D52" i="50" s="1"/>
  <c r="BC10" i="50"/>
  <c r="BB10" i="50"/>
  <c r="BA10" i="50"/>
  <c r="AZ10" i="50"/>
  <c r="AZ66" i="50" s="1"/>
  <c r="AJ4" i="50" s="1"/>
  <c r="AY10" i="50"/>
  <c r="AX10" i="50"/>
  <c r="AW10" i="50"/>
  <c r="BB65" i="49"/>
  <c r="BF64" i="49"/>
  <c r="BE64" i="49"/>
  <c r="BD64" i="49"/>
  <c r="BC64" i="49"/>
  <c r="BB64" i="49"/>
  <c r="BA64" i="49"/>
  <c r="AZ64" i="49"/>
  <c r="AY64" i="49"/>
  <c r="AX64" i="49"/>
  <c r="AW64" i="49"/>
  <c r="BB63" i="49"/>
  <c r="BF62" i="49"/>
  <c r="BE62" i="49"/>
  <c r="BD62" i="49"/>
  <c r="BC62" i="49"/>
  <c r="BB62" i="49"/>
  <c r="BA62" i="49"/>
  <c r="AZ62" i="49"/>
  <c r="AY62" i="49"/>
  <c r="AX62" i="49"/>
  <c r="AW62" i="49"/>
  <c r="BB61" i="49"/>
  <c r="BF60" i="49"/>
  <c r="BE60" i="49"/>
  <c r="BD60" i="49"/>
  <c r="BC60" i="49"/>
  <c r="BB60" i="49"/>
  <c r="BA60" i="49"/>
  <c r="AZ60" i="49"/>
  <c r="AY60" i="49"/>
  <c r="AX60" i="49"/>
  <c r="AW60" i="49"/>
  <c r="BB59" i="49"/>
  <c r="BF58" i="49"/>
  <c r="BE58" i="49"/>
  <c r="BD58" i="49"/>
  <c r="BC58" i="49"/>
  <c r="BB58" i="49"/>
  <c r="BA58" i="49"/>
  <c r="AZ58" i="49"/>
  <c r="AY58" i="49"/>
  <c r="AX58" i="49"/>
  <c r="AW58" i="49"/>
  <c r="BB57" i="49"/>
  <c r="BF56" i="49"/>
  <c r="BE56" i="49"/>
  <c r="BD56" i="49"/>
  <c r="BC56" i="49"/>
  <c r="BB56" i="49"/>
  <c r="BA56" i="49"/>
  <c r="AZ56" i="49"/>
  <c r="AY56" i="49"/>
  <c r="AX56" i="49"/>
  <c r="AW56" i="49"/>
  <c r="BB55" i="49"/>
  <c r="BF54" i="49"/>
  <c r="BE54" i="49"/>
  <c r="BD54" i="49"/>
  <c r="BC54" i="49"/>
  <c r="BB54" i="49"/>
  <c r="BA54" i="49"/>
  <c r="AZ54" i="49"/>
  <c r="AY54" i="49"/>
  <c r="AX54" i="49"/>
  <c r="AW54" i="49"/>
  <c r="BB53" i="49"/>
  <c r="BB49" i="49"/>
  <c r="BF48" i="49"/>
  <c r="BE48" i="49"/>
  <c r="BD48" i="49"/>
  <c r="BC48" i="49"/>
  <c r="BB48" i="49"/>
  <c r="BA48" i="49"/>
  <c r="AZ48" i="49"/>
  <c r="AY48" i="49"/>
  <c r="AX48" i="49"/>
  <c r="AW48" i="49"/>
  <c r="BB47" i="49"/>
  <c r="BF46" i="49"/>
  <c r="BE46" i="49"/>
  <c r="BD46" i="49"/>
  <c r="BC46" i="49"/>
  <c r="BB46" i="49"/>
  <c r="BA46" i="49"/>
  <c r="AZ46" i="49"/>
  <c r="AY46" i="49"/>
  <c r="AX46" i="49"/>
  <c r="AW46" i="49"/>
  <c r="BB45" i="49"/>
  <c r="BF44" i="49"/>
  <c r="BE44" i="49"/>
  <c r="BD44" i="49"/>
  <c r="BC44" i="49"/>
  <c r="BB44" i="49"/>
  <c r="BA44" i="49"/>
  <c r="AZ44" i="49"/>
  <c r="AY44" i="49"/>
  <c r="AX44" i="49"/>
  <c r="AW44" i="49"/>
  <c r="BB43" i="49"/>
  <c r="BF42" i="49"/>
  <c r="BE42" i="49"/>
  <c r="BD42" i="49"/>
  <c r="BC42" i="49"/>
  <c r="BB42" i="49"/>
  <c r="BA42" i="49"/>
  <c r="AZ42" i="49"/>
  <c r="AY42" i="49"/>
  <c r="AX42" i="49"/>
  <c r="AW42" i="49"/>
  <c r="BB41" i="49"/>
  <c r="BB39" i="49"/>
  <c r="BF38" i="49"/>
  <c r="BE38" i="49"/>
  <c r="BD38" i="49"/>
  <c r="BC38" i="49"/>
  <c r="BB38" i="49"/>
  <c r="BA38" i="49"/>
  <c r="AZ38" i="49"/>
  <c r="AY38" i="49"/>
  <c r="AX38" i="49"/>
  <c r="AW38" i="49"/>
  <c r="BB37" i="49"/>
  <c r="BF36" i="49"/>
  <c r="BE36" i="49"/>
  <c r="BD36" i="49"/>
  <c r="BC36" i="49"/>
  <c r="BB36" i="49"/>
  <c r="BA36" i="49"/>
  <c r="AZ36" i="49"/>
  <c r="AY36" i="49"/>
  <c r="AX36" i="49"/>
  <c r="AW36" i="49"/>
  <c r="BB35" i="49"/>
  <c r="BF34" i="49"/>
  <c r="BE34" i="49"/>
  <c r="BD34" i="49"/>
  <c r="BC34" i="49"/>
  <c r="BB34" i="49"/>
  <c r="BA34" i="49"/>
  <c r="AZ34" i="49"/>
  <c r="AY34" i="49"/>
  <c r="AX34" i="49"/>
  <c r="AW34" i="49"/>
  <c r="BB33" i="49"/>
  <c r="BF32" i="49"/>
  <c r="BE32" i="49"/>
  <c r="BD32" i="49"/>
  <c r="BC32" i="49"/>
  <c r="BB32" i="49"/>
  <c r="BA32" i="49"/>
  <c r="AZ32" i="49"/>
  <c r="AY32" i="49"/>
  <c r="AX32" i="49"/>
  <c r="AW32" i="49"/>
  <c r="BB31" i="49"/>
  <c r="BF30" i="49"/>
  <c r="BE30" i="49"/>
  <c r="BD30" i="49"/>
  <c r="BC30" i="49"/>
  <c r="BB30" i="49"/>
  <c r="BA30" i="49"/>
  <c r="AZ30" i="49"/>
  <c r="AY30" i="49"/>
  <c r="AX30" i="49"/>
  <c r="AW30" i="49"/>
  <c r="BB29" i="49"/>
  <c r="BF28" i="49"/>
  <c r="BE28" i="49"/>
  <c r="BD28" i="49"/>
  <c r="BC28" i="49"/>
  <c r="BB28" i="49"/>
  <c r="BA28" i="49"/>
  <c r="AZ28" i="49"/>
  <c r="AY28" i="49"/>
  <c r="AX28" i="49"/>
  <c r="AW28" i="49"/>
  <c r="BB27" i="49"/>
  <c r="BF26" i="49"/>
  <c r="BE26" i="49"/>
  <c r="BD26" i="49"/>
  <c r="BC26" i="49"/>
  <c r="BB26" i="49"/>
  <c r="BA26" i="49"/>
  <c r="AZ26" i="49"/>
  <c r="AY26" i="49"/>
  <c r="AX26" i="49"/>
  <c r="AW26" i="49"/>
  <c r="BB25" i="49"/>
  <c r="BF24" i="49"/>
  <c r="BE24" i="49"/>
  <c r="BD24" i="49"/>
  <c r="BC24" i="49"/>
  <c r="BB24" i="49"/>
  <c r="BA24" i="49"/>
  <c r="AZ24" i="49"/>
  <c r="AY24" i="49"/>
  <c r="AX24" i="49"/>
  <c r="AW24" i="49"/>
  <c r="BB23" i="49"/>
  <c r="BF22" i="49"/>
  <c r="BE22" i="49"/>
  <c r="BD22" i="49"/>
  <c r="BC22" i="49"/>
  <c r="BB22" i="49"/>
  <c r="BA22" i="49"/>
  <c r="AZ22" i="49"/>
  <c r="AY22" i="49"/>
  <c r="AX22" i="49"/>
  <c r="AW22" i="49"/>
  <c r="BB21" i="49"/>
  <c r="BF20" i="49"/>
  <c r="BE20" i="49"/>
  <c r="BD20" i="49"/>
  <c r="BC20" i="49"/>
  <c r="BB20" i="49"/>
  <c r="BA20" i="49"/>
  <c r="AZ20" i="49"/>
  <c r="AY20" i="49"/>
  <c r="AX20" i="49"/>
  <c r="AW20" i="49"/>
  <c r="BB19" i="49"/>
  <c r="BF18" i="49"/>
  <c r="BE18" i="49"/>
  <c r="BD18" i="49"/>
  <c r="BC18" i="49"/>
  <c r="BB18" i="49"/>
  <c r="BA18" i="49"/>
  <c r="AZ18" i="49"/>
  <c r="AY18" i="49"/>
  <c r="AX18" i="49"/>
  <c r="AW18" i="49"/>
  <c r="BB17" i="49"/>
  <c r="BF16" i="49"/>
  <c r="BE16" i="49"/>
  <c r="BD16" i="49"/>
  <c r="BC16" i="49"/>
  <c r="BB16" i="49"/>
  <c r="BA16" i="49"/>
  <c r="AZ16" i="49"/>
  <c r="AY16" i="49"/>
  <c r="AX16" i="49"/>
  <c r="AW16" i="49"/>
  <c r="BB15" i="49"/>
  <c r="BF14" i="49"/>
  <c r="BE14" i="49"/>
  <c r="BD14" i="49"/>
  <c r="BC14" i="49"/>
  <c r="BB14" i="49"/>
  <c r="BA14" i="49"/>
  <c r="AZ14" i="49"/>
  <c r="AY14" i="49"/>
  <c r="AX14" i="49"/>
  <c r="AW14" i="49"/>
  <c r="BB13" i="49"/>
  <c r="BF12" i="49"/>
  <c r="BE12" i="49"/>
  <c r="BD12" i="49"/>
  <c r="BC12" i="49"/>
  <c r="BB12" i="49"/>
  <c r="BA12" i="49"/>
  <c r="AZ12" i="49"/>
  <c r="AY12" i="49"/>
  <c r="AX12" i="49"/>
  <c r="AW12" i="49"/>
  <c r="BB11" i="49"/>
  <c r="BF10" i="49"/>
  <c r="BE10" i="49"/>
  <c r="BE66" i="49" s="1"/>
  <c r="T52" i="49" s="1"/>
  <c r="BD10" i="49"/>
  <c r="BC10" i="49"/>
  <c r="BB10" i="49"/>
  <c r="BA10" i="49"/>
  <c r="BA66" i="49" s="1"/>
  <c r="AZ10" i="49"/>
  <c r="AY10" i="49"/>
  <c r="AX10" i="49"/>
  <c r="AW10" i="49"/>
  <c r="AW66" i="49" s="1"/>
  <c r="D4" i="49" s="1"/>
  <c r="BB65" i="48"/>
  <c r="BF64" i="48"/>
  <c r="BE64" i="48"/>
  <c r="BD64" i="48"/>
  <c r="BC64" i="48"/>
  <c r="BB64" i="48"/>
  <c r="BA64" i="48"/>
  <c r="AZ64" i="48"/>
  <c r="AY64" i="48"/>
  <c r="AX64" i="48"/>
  <c r="AW64" i="48"/>
  <c r="BB63" i="48"/>
  <c r="BF62" i="48"/>
  <c r="BE62" i="48"/>
  <c r="BD62" i="48"/>
  <c r="BC62" i="48"/>
  <c r="BB62" i="48"/>
  <c r="BA62" i="48"/>
  <c r="AZ62" i="48"/>
  <c r="AY62" i="48"/>
  <c r="AX62" i="48"/>
  <c r="AW62" i="48"/>
  <c r="BB61" i="48"/>
  <c r="BF60" i="48"/>
  <c r="BE60" i="48"/>
  <c r="BD60" i="48"/>
  <c r="BC60" i="48"/>
  <c r="BB60" i="48"/>
  <c r="BA60" i="48"/>
  <c r="AZ60" i="48"/>
  <c r="AY60" i="48"/>
  <c r="AX60" i="48"/>
  <c r="AW60" i="48"/>
  <c r="BB59" i="48"/>
  <c r="BF58" i="48"/>
  <c r="BE58" i="48"/>
  <c r="BD58" i="48"/>
  <c r="BC58" i="48"/>
  <c r="BB58" i="48"/>
  <c r="BA58" i="48"/>
  <c r="AZ58" i="48"/>
  <c r="AY58" i="48"/>
  <c r="AX58" i="48"/>
  <c r="AW58" i="48"/>
  <c r="BB57" i="48"/>
  <c r="BF56" i="48"/>
  <c r="BE56" i="48"/>
  <c r="BD56" i="48"/>
  <c r="BC56" i="48"/>
  <c r="BB56" i="48"/>
  <c r="BA56" i="48"/>
  <c r="AZ56" i="48"/>
  <c r="AY56" i="48"/>
  <c r="AX56" i="48"/>
  <c r="AW56" i="48"/>
  <c r="BB55" i="48"/>
  <c r="BF54" i="48"/>
  <c r="BE54" i="48"/>
  <c r="BD54" i="48"/>
  <c r="BC54" i="48"/>
  <c r="BB54" i="48"/>
  <c r="BA54" i="48"/>
  <c r="AZ54" i="48"/>
  <c r="AY54" i="48"/>
  <c r="AX54" i="48"/>
  <c r="AW54" i="48"/>
  <c r="BB53" i="48"/>
  <c r="BB49" i="48"/>
  <c r="BF48" i="48"/>
  <c r="BE48" i="48"/>
  <c r="BD48" i="48"/>
  <c r="BC48" i="48"/>
  <c r="BB48" i="48"/>
  <c r="BA48" i="48"/>
  <c r="AZ48" i="48"/>
  <c r="AY48" i="48"/>
  <c r="AX48" i="48"/>
  <c r="AW48" i="48"/>
  <c r="BB47" i="48"/>
  <c r="BF46" i="48"/>
  <c r="BE46" i="48"/>
  <c r="BD46" i="48"/>
  <c r="BC46" i="48"/>
  <c r="BB46" i="48"/>
  <c r="BA46" i="48"/>
  <c r="AZ46" i="48"/>
  <c r="AY46" i="48"/>
  <c r="AX46" i="48"/>
  <c r="AW46" i="48"/>
  <c r="BB45" i="48"/>
  <c r="BF44" i="48"/>
  <c r="BE44" i="48"/>
  <c r="BD44" i="48"/>
  <c r="BC44" i="48"/>
  <c r="BB44" i="48"/>
  <c r="BA44" i="48"/>
  <c r="AZ44" i="48"/>
  <c r="AY44" i="48"/>
  <c r="AX44" i="48"/>
  <c r="AW44" i="48"/>
  <c r="BB43" i="48"/>
  <c r="BF42" i="48"/>
  <c r="BE42" i="48"/>
  <c r="BD42" i="48"/>
  <c r="BC42" i="48"/>
  <c r="BB42" i="48"/>
  <c r="BA42" i="48"/>
  <c r="AZ42" i="48"/>
  <c r="AY42" i="48"/>
  <c r="AX42" i="48"/>
  <c r="AW42" i="48"/>
  <c r="BB41" i="48"/>
  <c r="BB39" i="48"/>
  <c r="BF38" i="48"/>
  <c r="BE38" i="48"/>
  <c r="BD38" i="48"/>
  <c r="BC38" i="48"/>
  <c r="BB38" i="48"/>
  <c r="BA38" i="48"/>
  <c r="AZ38" i="48"/>
  <c r="AY38" i="48"/>
  <c r="AX38" i="48"/>
  <c r="AW38" i="48"/>
  <c r="BB37" i="48"/>
  <c r="BF36" i="48"/>
  <c r="BE36" i="48"/>
  <c r="BD36" i="48"/>
  <c r="BC36" i="48"/>
  <c r="BB36" i="48"/>
  <c r="BA36" i="48"/>
  <c r="AZ36" i="48"/>
  <c r="AY36" i="48"/>
  <c r="AX36" i="48"/>
  <c r="AW36" i="48"/>
  <c r="BB35" i="48"/>
  <c r="BF34" i="48"/>
  <c r="BE34" i="48"/>
  <c r="BD34" i="48"/>
  <c r="BC34" i="48"/>
  <c r="BB34" i="48"/>
  <c r="BA34" i="48"/>
  <c r="AZ34" i="48"/>
  <c r="AY34" i="48"/>
  <c r="AX34" i="48"/>
  <c r="AW34" i="48"/>
  <c r="BB33" i="48"/>
  <c r="BF32" i="48"/>
  <c r="BE32" i="48"/>
  <c r="BD32" i="48"/>
  <c r="BC32" i="48"/>
  <c r="BB32" i="48"/>
  <c r="BA32" i="48"/>
  <c r="AZ32" i="48"/>
  <c r="AY32" i="48"/>
  <c r="AX32" i="48"/>
  <c r="AW32" i="48"/>
  <c r="BB31" i="48"/>
  <c r="BF30" i="48"/>
  <c r="BE30" i="48"/>
  <c r="BD30" i="48"/>
  <c r="BC30" i="48"/>
  <c r="BB30" i="48"/>
  <c r="BA30" i="48"/>
  <c r="AZ30" i="48"/>
  <c r="AY30" i="48"/>
  <c r="AX30" i="48"/>
  <c r="AW30" i="48"/>
  <c r="BB29" i="48"/>
  <c r="BF28" i="48"/>
  <c r="BE28" i="48"/>
  <c r="BD28" i="48"/>
  <c r="BC28" i="48"/>
  <c r="BB28" i="48"/>
  <c r="BA28" i="48"/>
  <c r="AZ28" i="48"/>
  <c r="AY28" i="48"/>
  <c r="AX28" i="48"/>
  <c r="AW28" i="48"/>
  <c r="BB27" i="48"/>
  <c r="BF26" i="48"/>
  <c r="BE26" i="48"/>
  <c r="BD26" i="48"/>
  <c r="BC26" i="48"/>
  <c r="BB26" i="48"/>
  <c r="BA26" i="48"/>
  <c r="AZ26" i="48"/>
  <c r="AY26" i="48"/>
  <c r="AX26" i="48"/>
  <c r="AW26" i="48"/>
  <c r="BB25" i="48"/>
  <c r="BF24" i="48"/>
  <c r="BE24" i="48"/>
  <c r="BD24" i="48"/>
  <c r="BC24" i="48"/>
  <c r="BB24" i="48"/>
  <c r="BA24" i="48"/>
  <c r="AZ24" i="48"/>
  <c r="AY24" i="48"/>
  <c r="AX24" i="48"/>
  <c r="AW24" i="48"/>
  <c r="BB23" i="48"/>
  <c r="BF22" i="48"/>
  <c r="BE22" i="48"/>
  <c r="BD22" i="48"/>
  <c r="BC22" i="48"/>
  <c r="BB22" i="48"/>
  <c r="BA22" i="48"/>
  <c r="AZ22" i="48"/>
  <c r="AY22" i="48"/>
  <c r="AX22" i="48"/>
  <c r="AW22" i="48"/>
  <c r="BB21" i="48"/>
  <c r="BF20" i="48"/>
  <c r="BE20" i="48"/>
  <c r="BD20" i="48"/>
  <c r="BC20" i="48"/>
  <c r="BB20" i="48"/>
  <c r="BA20" i="48"/>
  <c r="AZ20" i="48"/>
  <c r="AY20" i="48"/>
  <c r="AX20" i="48"/>
  <c r="AW20" i="48"/>
  <c r="BB19" i="48"/>
  <c r="BF18" i="48"/>
  <c r="BE18" i="48"/>
  <c r="BD18" i="48"/>
  <c r="BC18" i="48"/>
  <c r="BB18" i="48"/>
  <c r="BA18" i="48"/>
  <c r="AZ18" i="48"/>
  <c r="AY18" i="48"/>
  <c r="AX18" i="48"/>
  <c r="AW18" i="48"/>
  <c r="BB17" i="48"/>
  <c r="BF16" i="48"/>
  <c r="BE16" i="48"/>
  <c r="BD16" i="48"/>
  <c r="BC16" i="48"/>
  <c r="BB16" i="48"/>
  <c r="BA16" i="48"/>
  <c r="AZ16" i="48"/>
  <c r="AY16" i="48"/>
  <c r="AX16" i="48"/>
  <c r="AW16" i="48"/>
  <c r="BB15" i="48"/>
  <c r="BF14" i="48"/>
  <c r="BE14" i="48"/>
  <c r="BD14" i="48"/>
  <c r="BC14" i="48"/>
  <c r="BB14" i="48"/>
  <c r="BA14" i="48"/>
  <c r="AZ14" i="48"/>
  <c r="AY14" i="48"/>
  <c r="AX14" i="48"/>
  <c r="AW14" i="48"/>
  <c r="BB13" i="48"/>
  <c r="BF12" i="48"/>
  <c r="BE12" i="48"/>
  <c r="BD12" i="48"/>
  <c r="BC12" i="48"/>
  <c r="BB12" i="48"/>
  <c r="BA12" i="48"/>
  <c r="AZ12" i="48"/>
  <c r="AY12" i="48"/>
  <c r="AX12" i="48"/>
  <c r="AW12" i="48"/>
  <c r="BB11" i="48"/>
  <c r="BF10" i="48"/>
  <c r="BF66" i="48" s="1"/>
  <c r="AJ52" i="48" s="1"/>
  <c r="BE10" i="48"/>
  <c r="BD10" i="48"/>
  <c r="BC10" i="48"/>
  <c r="BB10" i="48"/>
  <c r="BB66" i="48" s="1"/>
  <c r="BA10" i="48"/>
  <c r="AZ10" i="48"/>
  <c r="AY10" i="48"/>
  <c r="AX10" i="48"/>
  <c r="AX66" i="48" s="1"/>
  <c r="D6" i="48" s="1"/>
  <c r="AW10" i="48"/>
  <c r="BB65" i="47"/>
  <c r="BF64" i="47"/>
  <c r="BE64" i="47"/>
  <c r="BD64" i="47"/>
  <c r="BC64" i="47"/>
  <c r="BB64" i="47"/>
  <c r="BA64" i="47"/>
  <c r="AZ64" i="47"/>
  <c r="AY64" i="47"/>
  <c r="AX64" i="47"/>
  <c r="AW64" i="47"/>
  <c r="BB63" i="47"/>
  <c r="BF62" i="47"/>
  <c r="BE62" i="47"/>
  <c r="BD62" i="47"/>
  <c r="BC62" i="47"/>
  <c r="BB62" i="47"/>
  <c r="BA62" i="47"/>
  <c r="AZ62" i="47"/>
  <c r="AY62" i="47"/>
  <c r="AX62" i="47"/>
  <c r="AW62" i="47"/>
  <c r="BB61" i="47"/>
  <c r="BF60" i="47"/>
  <c r="BE60" i="47"/>
  <c r="BD60" i="47"/>
  <c r="BC60" i="47"/>
  <c r="BB60" i="47"/>
  <c r="BA60" i="47"/>
  <c r="AZ60" i="47"/>
  <c r="AY60" i="47"/>
  <c r="AX60" i="47"/>
  <c r="AW60" i="47"/>
  <c r="BB59" i="47"/>
  <c r="BF58" i="47"/>
  <c r="BE58" i="47"/>
  <c r="BD58" i="47"/>
  <c r="BC58" i="47"/>
  <c r="BB58" i="47"/>
  <c r="BA58" i="47"/>
  <c r="AZ58" i="47"/>
  <c r="AY58" i="47"/>
  <c r="AX58" i="47"/>
  <c r="AW58" i="47"/>
  <c r="BB57" i="47"/>
  <c r="BF56" i="47"/>
  <c r="BE56" i="47"/>
  <c r="BD56" i="47"/>
  <c r="BC56" i="47"/>
  <c r="BB56" i="47"/>
  <c r="BA56" i="47"/>
  <c r="AZ56" i="47"/>
  <c r="AY56" i="47"/>
  <c r="AX56" i="47"/>
  <c r="AW56" i="47"/>
  <c r="BB55" i="47"/>
  <c r="BF54" i="47"/>
  <c r="BE54" i="47"/>
  <c r="BD54" i="47"/>
  <c r="BC54" i="47"/>
  <c r="BB54" i="47"/>
  <c r="BA54" i="47"/>
  <c r="AZ54" i="47"/>
  <c r="AY54" i="47"/>
  <c r="AX54" i="47"/>
  <c r="AW54" i="47"/>
  <c r="BB53" i="47"/>
  <c r="BB49" i="47"/>
  <c r="BF48" i="47"/>
  <c r="BE48" i="47"/>
  <c r="BD48" i="47"/>
  <c r="BC48" i="47"/>
  <c r="BB48" i="47"/>
  <c r="BA48" i="47"/>
  <c r="AZ48" i="47"/>
  <c r="AY48" i="47"/>
  <c r="AX48" i="47"/>
  <c r="AW48" i="47"/>
  <c r="BB47" i="47"/>
  <c r="BF46" i="47"/>
  <c r="BE46" i="47"/>
  <c r="BD46" i="47"/>
  <c r="BC46" i="47"/>
  <c r="BB46" i="47"/>
  <c r="BA46" i="47"/>
  <c r="AZ46" i="47"/>
  <c r="AY46" i="47"/>
  <c r="AX46" i="47"/>
  <c r="AW46" i="47"/>
  <c r="BB45" i="47"/>
  <c r="BF44" i="47"/>
  <c r="BE44" i="47"/>
  <c r="BD44" i="47"/>
  <c r="BC44" i="47"/>
  <c r="BB44" i="47"/>
  <c r="BA44" i="47"/>
  <c r="AZ44" i="47"/>
  <c r="AY44" i="47"/>
  <c r="AX44" i="47"/>
  <c r="AW44" i="47"/>
  <c r="BB43" i="47"/>
  <c r="BF42" i="47"/>
  <c r="BE42" i="47"/>
  <c r="BD42" i="47"/>
  <c r="BC42" i="47"/>
  <c r="BB42" i="47"/>
  <c r="BA42" i="47"/>
  <c r="AZ42" i="47"/>
  <c r="AY42" i="47"/>
  <c r="AX42" i="47"/>
  <c r="AW42" i="47"/>
  <c r="BB41" i="47"/>
  <c r="BB39" i="47"/>
  <c r="BF38" i="47"/>
  <c r="BE38" i="47"/>
  <c r="BD38" i="47"/>
  <c r="BC38" i="47"/>
  <c r="BB38" i="47"/>
  <c r="BA38" i="47"/>
  <c r="AZ38" i="47"/>
  <c r="AY38" i="47"/>
  <c r="AX38" i="47"/>
  <c r="AW38" i="47"/>
  <c r="BB37" i="47"/>
  <c r="BF36" i="47"/>
  <c r="BE36" i="47"/>
  <c r="BD36" i="47"/>
  <c r="BC36" i="47"/>
  <c r="BB36" i="47"/>
  <c r="BA36" i="47"/>
  <c r="AZ36" i="47"/>
  <c r="AY36" i="47"/>
  <c r="AX36" i="47"/>
  <c r="AW36" i="47"/>
  <c r="BB35" i="47"/>
  <c r="BF34" i="47"/>
  <c r="BE34" i="47"/>
  <c r="BD34" i="47"/>
  <c r="BC34" i="47"/>
  <c r="BB34" i="47"/>
  <c r="BA34" i="47"/>
  <c r="AZ34" i="47"/>
  <c r="AY34" i="47"/>
  <c r="AX34" i="47"/>
  <c r="AW34" i="47"/>
  <c r="BB33" i="47"/>
  <c r="BF32" i="47"/>
  <c r="BE32" i="47"/>
  <c r="BD32" i="47"/>
  <c r="BC32" i="47"/>
  <c r="BB32" i="47"/>
  <c r="BA32" i="47"/>
  <c r="AZ32" i="47"/>
  <c r="AY32" i="47"/>
  <c r="AX32" i="47"/>
  <c r="AW32" i="47"/>
  <c r="BB31" i="47"/>
  <c r="BF30" i="47"/>
  <c r="BE30" i="47"/>
  <c r="BD30" i="47"/>
  <c r="BC30" i="47"/>
  <c r="BB30" i="47"/>
  <c r="BA30" i="47"/>
  <c r="AZ30" i="47"/>
  <c r="AY30" i="47"/>
  <c r="AX30" i="47"/>
  <c r="AW30" i="47"/>
  <c r="BB29" i="47"/>
  <c r="BF28" i="47"/>
  <c r="BE28" i="47"/>
  <c r="BD28" i="47"/>
  <c r="BC28" i="47"/>
  <c r="BB28" i="47"/>
  <c r="BA28" i="47"/>
  <c r="AZ28" i="47"/>
  <c r="AY28" i="47"/>
  <c r="AX28" i="47"/>
  <c r="AW28" i="47"/>
  <c r="BB27" i="47"/>
  <c r="BF26" i="47"/>
  <c r="BE26" i="47"/>
  <c r="BD26" i="47"/>
  <c r="BC26" i="47"/>
  <c r="BB26" i="47"/>
  <c r="BA26" i="47"/>
  <c r="AZ26" i="47"/>
  <c r="AY26" i="47"/>
  <c r="AX26" i="47"/>
  <c r="AW26" i="47"/>
  <c r="BB25" i="47"/>
  <c r="BF24" i="47"/>
  <c r="BE24" i="47"/>
  <c r="BD24" i="47"/>
  <c r="BC24" i="47"/>
  <c r="BB24" i="47"/>
  <c r="BA24" i="47"/>
  <c r="AZ24" i="47"/>
  <c r="AY24" i="47"/>
  <c r="AX24" i="47"/>
  <c r="AW24" i="47"/>
  <c r="BB23" i="47"/>
  <c r="BF22" i="47"/>
  <c r="BE22" i="47"/>
  <c r="BD22" i="47"/>
  <c r="BC22" i="47"/>
  <c r="BB22" i="47"/>
  <c r="BA22" i="47"/>
  <c r="AZ22" i="47"/>
  <c r="AY22" i="47"/>
  <c r="AX22" i="47"/>
  <c r="AW22" i="47"/>
  <c r="BB21" i="47"/>
  <c r="BF20" i="47"/>
  <c r="BE20" i="47"/>
  <c r="BD20" i="47"/>
  <c r="BC20" i="47"/>
  <c r="BB20" i="47"/>
  <c r="BA20" i="47"/>
  <c r="AZ20" i="47"/>
  <c r="AY20" i="47"/>
  <c r="AX20" i="47"/>
  <c r="AW20" i="47"/>
  <c r="BB19" i="47"/>
  <c r="BF18" i="47"/>
  <c r="BE18" i="47"/>
  <c r="BD18" i="47"/>
  <c r="BC18" i="47"/>
  <c r="BB18" i="47"/>
  <c r="BA18" i="47"/>
  <c r="AZ18" i="47"/>
  <c r="AY18" i="47"/>
  <c r="AX18" i="47"/>
  <c r="AW18" i="47"/>
  <c r="BB17" i="47"/>
  <c r="BF16" i="47"/>
  <c r="BE16" i="47"/>
  <c r="BD16" i="47"/>
  <c r="BC16" i="47"/>
  <c r="BB16" i="47"/>
  <c r="BA16" i="47"/>
  <c r="AZ16" i="47"/>
  <c r="AY16" i="47"/>
  <c r="AX16" i="47"/>
  <c r="AW16" i="47"/>
  <c r="BB15" i="47"/>
  <c r="BF14" i="47"/>
  <c r="BE14" i="47"/>
  <c r="BD14" i="47"/>
  <c r="BC14" i="47"/>
  <c r="BB14" i="47"/>
  <c r="BA14" i="47"/>
  <c r="AZ14" i="47"/>
  <c r="AY14" i="47"/>
  <c r="AX14" i="47"/>
  <c r="AW14" i="47"/>
  <c r="BB13" i="47"/>
  <c r="BF12" i="47"/>
  <c r="BE12" i="47"/>
  <c r="BD12" i="47"/>
  <c r="BC12" i="47"/>
  <c r="BB12" i="47"/>
  <c r="BA12" i="47"/>
  <c r="AZ12" i="47"/>
  <c r="AY12" i="47"/>
  <c r="AX12" i="47"/>
  <c r="AW12" i="47"/>
  <c r="BB11" i="47"/>
  <c r="BF10" i="47"/>
  <c r="BE10" i="47"/>
  <c r="BD10" i="47"/>
  <c r="BC10" i="47"/>
  <c r="BC66" i="47" s="1"/>
  <c r="AJ2" i="47" s="1"/>
  <c r="BB10" i="47"/>
  <c r="BA10" i="47"/>
  <c r="AZ10" i="47"/>
  <c r="AY10" i="47"/>
  <c r="AY66" i="47" s="1"/>
  <c r="T4" i="47" s="1"/>
  <c r="AX10" i="47"/>
  <c r="AW10" i="47"/>
  <c r="BB65" i="46"/>
  <c r="BF64" i="46"/>
  <c r="BE64" i="46"/>
  <c r="BD64" i="46"/>
  <c r="BC64" i="46"/>
  <c r="BB64" i="46"/>
  <c r="BA64" i="46"/>
  <c r="AZ64" i="46"/>
  <c r="AY64" i="46"/>
  <c r="AX64" i="46"/>
  <c r="AW64" i="46"/>
  <c r="BB63" i="46"/>
  <c r="BF62" i="46"/>
  <c r="BE62" i="46"/>
  <c r="BD62" i="46"/>
  <c r="BC62" i="46"/>
  <c r="BB62" i="46"/>
  <c r="BA62" i="46"/>
  <c r="AZ62" i="46"/>
  <c r="AY62" i="46"/>
  <c r="AX62" i="46"/>
  <c r="AW62" i="46"/>
  <c r="BB61" i="46"/>
  <c r="BF60" i="46"/>
  <c r="BE60" i="46"/>
  <c r="BD60" i="46"/>
  <c r="BC60" i="46"/>
  <c r="BB60" i="46"/>
  <c r="BA60" i="46"/>
  <c r="AZ60" i="46"/>
  <c r="AY60" i="46"/>
  <c r="AX60" i="46"/>
  <c r="AW60" i="46"/>
  <c r="BB59" i="46"/>
  <c r="BF58" i="46"/>
  <c r="BE58" i="46"/>
  <c r="BD58" i="46"/>
  <c r="BC58" i="46"/>
  <c r="BB58" i="46"/>
  <c r="BA58" i="46"/>
  <c r="AZ58" i="46"/>
  <c r="AY58" i="46"/>
  <c r="AX58" i="46"/>
  <c r="AW58" i="46"/>
  <c r="BB57" i="46"/>
  <c r="BF56" i="46"/>
  <c r="BE56" i="46"/>
  <c r="BD56" i="46"/>
  <c r="BC56" i="46"/>
  <c r="BB56" i="46"/>
  <c r="BA56" i="46"/>
  <c r="AZ56" i="46"/>
  <c r="AY56" i="46"/>
  <c r="AX56" i="46"/>
  <c r="AW56" i="46"/>
  <c r="BB55" i="46"/>
  <c r="BF54" i="46"/>
  <c r="BE54" i="46"/>
  <c r="BD54" i="46"/>
  <c r="BC54" i="46"/>
  <c r="BB54" i="46"/>
  <c r="BA54" i="46"/>
  <c r="AZ54" i="46"/>
  <c r="AY54" i="46"/>
  <c r="AX54" i="46"/>
  <c r="AW54" i="46"/>
  <c r="BB53" i="46"/>
  <c r="BB49" i="46"/>
  <c r="BF48" i="46"/>
  <c r="BE48" i="46"/>
  <c r="BD48" i="46"/>
  <c r="BC48" i="46"/>
  <c r="BB48" i="46"/>
  <c r="BA48" i="46"/>
  <c r="AZ48" i="46"/>
  <c r="AY48" i="46"/>
  <c r="AX48" i="46"/>
  <c r="AW48" i="46"/>
  <c r="BB47" i="46"/>
  <c r="BF46" i="46"/>
  <c r="BE46" i="46"/>
  <c r="BD46" i="46"/>
  <c r="BC46" i="46"/>
  <c r="BB46" i="46"/>
  <c r="BA46" i="46"/>
  <c r="AZ46" i="46"/>
  <c r="AY46" i="46"/>
  <c r="AX46" i="46"/>
  <c r="AW46" i="46"/>
  <c r="BB45" i="46"/>
  <c r="BF44" i="46"/>
  <c r="BE44" i="46"/>
  <c r="BD44" i="46"/>
  <c r="BC44" i="46"/>
  <c r="BB44" i="46"/>
  <c r="BA44" i="46"/>
  <c r="AZ44" i="46"/>
  <c r="AY44" i="46"/>
  <c r="AX44" i="46"/>
  <c r="AW44" i="46"/>
  <c r="BB43" i="46"/>
  <c r="BF42" i="46"/>
  <c r="BE42" i="46"/>
  <c r="BD42" i="46"/>
  <c r="BC42" i="46"/>
  <c r="BB42" i="46"/>
  <c r="BA42" i="46"/>
  <c r="AZ42" i="46"/>
  <c r="AY42" i="46"/>
  <c r="AX42" i="46"/>
  <c r="AW42" i="46"/>
  <c r="BB41" i="46"/>
  <c r="BB39" i="46"/>
  <c r="BF38" i="46"/>
  <c r="BE38" i="46"/>
  <c r="BD38" i="46"/>
  <c r="BC38" i="46"/>
  <c r="BB38" i="46"/>
  <c r="BA38" i="46"/>
  <c r="AZ38" i="46"/>
  <c r="AY38" i="46"/>
  <c r="AX38" i="46"/>
  <c r="AW38" i="46"/>
  <c r="BB37" i="46"/>
  <c r="BF36" i="46"/>
  <c r="BE36" i="46"/>
  <c r="BD36" i="46"/>
  <c r="BC36" i="46"/>
  <c r="BB36" i="46"/>
  <c r="BA36" i="46"/>
  <c r="AZ36" i="46"/>
  <c r="AY36" i="46"/>
  <c r="AX36" i="46"/>
  <c r="AW36" i="46"/>
  <c r="BB35" i="46"/>
  <c r="BF34" i="46"/>
  <c r="BE34" i="46"/>
  <c r="BD34" i="46"/>
  <c r="BC34" i="46"/>
  <c r="BB34" i="46"/>
  <c r="BA34" i="46"/>
  <c r="AZ34" i="46"/>
  <c r="AY34" i="46"/>
  <c r="AX34" i="46"/>
  <c r="AW34" i="46"/>
  <c r="BB33" i="46"/>
  <c r="BF32" i="46"/>
  <c r="BE32" i="46"/>
  <c r="BD32" i="46"/>
  <c r="BC32" i="46"/>
  <c r="BB32" i="46"/>
  <c r="BA32" i="46"/>
  <c r="AZ32" i="46"/>
  <c r="AY32" i="46"/>
  <c r="AX32" i="46"/>
  <c r="AW32" i="46"/>
  <c r="BB31" i="46"/>
  <c r="BF30" i="46"/>
  <c r="BE30" i="46"/>
  <c r="BD30" i="46"/>
  <c r="BC30" i="46"/>
  <c r="BB30" i="46"/>
  <c r="BA30" i="46"/>
  <c r="AZ30" i="46"/>
  <c r="AY30" i="46"/>
  <c r="AX30" i="46"/>
  <c r="AW30" i="46"/>
  <c r="BB29" i="46"/>
  <c r="BF28" i="46"/>
  <c r="BE28" i="46"/>
  <c r="BD28" i="46"/>
  <c r="BC28" i="46"/>
  <c r="BB28" i="46"/>
  <c r="BA28" i="46"/>
  <c r="AZ28" i="46"/>
  <c r="AY28" i="46"/>
  <c r="AX28" i="46"/>
  <c r="AW28" i="46"/>
  <c r="BB27" i="46"/>
  <c r="BF26" i="46"/>
  <c r="BE26" i="46"/>
  <c r="BD26" i="46"/>
  <c r="BC26" i="46"/>
  <c r="BB26" i="46"/>
  <c r="BA26" i="46"/>
  <c r="AZ26" i="46"/>
  <c r="AY26" i="46"/>
  <c r="AX26" i="46"/>
  <c r="AW26" i="46"/>
  <c r="BB25" i="46"/>
  <c r="BF24" i="46"/>
  <c r="BE24" i="46"/>
  <c r="BD24" i="46"/>
  <c r="BC24" i="46"/>
  <c r="BB24" i="46"/>
  <c r="BA24" i="46"/>
  <c r="AZ24" i="46"/>
  <c r="AY24" i="46"/>
  <c r="AX24" i="46"/>
  <c r="AW24" i="46"/>
  <c r="BB23" i="46"/>
  <c r="BF22" i="46"/>
  <c r="BE22" i="46"/>
  <c r="BD22" i="46"/>
  <c r="BC22" i="46"/>
  <c r="BB22" i="46"/>
  <c r="BA22" i="46"/>
  <c r="AZ22" i="46"/>
  <c r="AY22" i="46"/>
  <c r="AX22" i="46"/>
  <c r="AW22" i="46"/>
  <c r="BB21" i="46"/>
  <c r="BF20" i="46"/>
  <c r="BE20" i="46"/>
  <c r="BD20" i="46"/>
  <c r="BC20" i="46"/>
  <c r="BB20" i="46"/>
  <c r="BA20" i="46"/>
  <c r="AZ20" i="46"/>
  <c r="AY20" i="46"/>
  <c r="AX20" i="46"/>
  <c r="AW20" i="46"/>
  <c r="BB19" i="46"/>
  <c r="BF18" i="46"/>
  <c r="BE18" i="46"/>
  <c r="BD18" i="46"/>
  <c r="BC18" i="46"/>
  <c r="BB18" i="46"/>
  <c r="BA18" i="46"/>
  <c r="AZ18" i="46"/>
  <c r="AY18" i="46"/>
  <c r="AX18" i="46"/>
  <c r="AW18" i="46"/>
  <c r="BB17" i="46"/>
  <c r="BF16" i="46"/>
  <c r="BE16" i="46"/>
  <c r="BD16" i="46"/>
  <c r="BC16" i="46"/>
  <c r="BB16" i="46"/>
  <c r="BA16" i="46"/>
  <c r="AZ16" i="46"/>
  <c r="AY16" i="46"/>
  <c r="AX16" i="46"/>
  <c r="AW16" i="46"/>
  <c r="BB15" i="46"/>
  <c r="BF14" i="46"/>
  <c r="BE14" i="46"/>
  <c r="BD14" i="46"/>
  <c r="BC14" i="46"/>
  <c r="BB14" i="46"/>
  <c r="BA14" i="46"/>
  <c r="AZ14" i="46"/>
  <c r="AY14" i="46"/>
  <c r="AX14" i="46"/>
  <c r="AW14" i="46"/>
  <c r="BB13" i="46"/>
  <c r="BF12" i="46"/>
  <c r="BE12" i="46"/>
  <c r="BD12" i="46"/>
  <c r="BC12" i="46"/>
  <c r="BB12" i="46"/>
  <c r="BA12" i="46"/>
  <c r="AZ12" i="46"/>
  <c r="AY12" i="46"/>
  <c r="AX12" i="46"/>
  <c r="AW12" i="46"/>
  <c r="BB11" i="46"/>
  <c r="BF10" i="46"/>
  <c r="BE10" i="46"/>
  <c r="BD10" i="46"/>
  <c r="BD66" i="46" s="1"/>
  <c r="D52" i="46" s="1"/>
  <c r="BC10" i="46"/>
  <c r="BB10" i="46"/>
  <c r="BA10" i="46"/>
  <c r="AZ10" i="46"/>
  <c r="AZ66" i="46" s="1"/>
  <c r="AJ4" i="46" s="1"/>
  <c r="AY10" i="46"/>
  <c r="AX10" i="46"/>
  <c r="AW10" i="46"/>
  <c r="BB65" i="45"/>
  <c r="BF64" i="45"/>
  <c r="BE64" i="45"/>
  <c r="BD64" i="45"/>
  <c r="BC64" i="45"/>
  <c r="BB64" i="45"/>
  <c r="BA64" i="45"/>
  <c r="AZ64" i="45"/>
  <c r="AY64" i="45"/>
  <c r="AX64" i="45"/>
  <c r="AW64" i="45"/>
  <c r="BB63" i="45"/>
  <c r="BF62" i="45"/>
  <c r="BE62" i="45"/>
  <c r="BD62" i="45"/>
  <c r="BC62" i="45"/>
  <c r="BB62" i="45"/>
  <c r="BA62" i="45"/>
  <c r="AZ62" i="45"/>
  <c r="AY62" i="45"/>
  <c r="AX62" i="45"/>
  <c r="AW62" i="45"/>
  <c r="BB61" i="45"/>
  <c r="BF60" i="45"/>
  <c r="BE60" i="45"/>
  <c r="BD60" i="45"/>
  <c r="BC60" i="45"/>
  <c r="BB60" i="45"/>
  <c r="BA60" i="45"/>
  <c r="AZ60" i="45"/>
  <c r="AY60" i="45"/>
  <c r="AX60" i="45"/>
  <c r="AW60" i="45"/>
  <c r="BB59" i="45"/>
  <c r="BF58" i="45"/>
  <c r="BE58" i="45"/>
  <c r="BD58" i="45"/>
  <c r="BC58" i="45"/>
  <c r="BB58" i="45"/>
  <c r="BA58" i="45"/>
  <c r="AZ58" i="45"/>
  <c r="AY58" i="45"/>
  <c r="AX58" i="45"/>
  <c r="AW58" i="45"/>
  <c r="BB57" i="45"/>
  <c r="BF56" i="45"/>
  <c r="BE56" i="45"/>
  <c r="BD56" i="45"/>
  <c r="BC56" i="45"/>
  <c r="BB56" i="45"/>
  <c r="BA56" i="45"/>
  <c r="AZ56" i="45"/>
  <c r="AY56" i="45"/>
  <c r="AX56" i="45"/>
  <c r="AW56" i="45"/>
  <c r="BB55" i="45"/>
  <c r="BF54" i="45"/>
  <c r="BE54" i="45"/>
  <c r="BD54" i="45"/>
  <c r="BC54" i="45"/>
  <c r="BB54" i="45"/>
  <c r="BA54" i="45"/>
  <c r="AZ54" i="45"/>
  <c r="AY54" i="45"/>
  <c r="AX54" i="45"/>
  <c r="AW54" i="45"/>
  <c r="BB53" i="45"/>
  <c r="BB49" i="45"/>
  <c r="BF48" i="45"/>
  <c r="BE48" i="45"/>
  <c r="BD48" i="45"/>
  <c r="BC48" i="45"/>
  <c r="BB48" i="45"/>
  <c r="BA48" i="45"/>
  <c r="AZ48" i="45"/>
  <c r="AY48" i="45"/>
  <c r="AX48" i="45"/>
  <c r="AW48" i="45"/>
  <c r="BB47" i="45"/>
  <c r="BF46" i="45"/>
  <c r="BE46" i="45"/>
  <c r="BD46" i="45"/>
  <c r="BC46" i="45"/>
  <c r="BB46" i="45"/>
  <c r="BA46" i="45"/>
  <c r="AZ46" i="45"/>
  <c r="AY46" i="45"/>
  <c r="AX46" i="45"/>
  <c r="AW46" i="45"/>
  <c r="BB45" i="45"/>
  <c r="BF44" i="45"/>
  <c r="BE44" i="45"/>
  <c r="BD44" i="45"/>
  <c r="BC44" i="45"/>
  <c r="BB44" i="45"/>
  <c r="BA44" i="45"/>
  <c r="AZ44" i="45"/>
  <c r="AY44" i="45"/>
  <c r="AX44" i="45"/>
  <c r="AW44" i="45"/>
  <c r="BB43" i="45"/>
  <c r="BF42" i="45"/>
  <c r="BE42" i="45"/>
  <c r="BD42" i="45"/>
  <c r="BC42" i="45"/>
  <c r="BB42" i="45"/>
  <c r="BA42" i="45"/>
  <c r="AZ42" i="45"/>
  <c r="AY42" i="45"/>
  <c r="AX42" i="45"/>
  <c r="AW42" i="45"/>
  <c r="BB41" i="45"/>
  <c r="BB39" i="45"/>
  <c r="BF38" i="45"/>
  <c r="BE38" i="45"/>
  <c r="BD38" i="45"/>
  <c r="BC38" i="45"/>
  <c r="BB38" i="45"/>
  <c r="BA38" i="45"/>
  <c r="AZ38" i="45"/>
  <c r="AY38" i="45"/>
  <c r="AX38" i="45"/>
  <c r="AW38" i="45"/>
  <c r="BB37" i="45"/>
  <c r="BF36" i="45"/>
  <c r="BE36" i="45"/>
  <c r="BD36" i="45"/>
  <c r="BC36" i="45"/>
  <c r="BB36" i="45"/>
  <c r="BA36" i="45"/>
  <c r="AZ36" i="45"/>
  <c r="AY36" i="45"/>
  <c r="AX36" i="45"/>
  <c r="AW36" i="45"/>
  <c r="BB35" i="45"/>
  <c r="BF34" i="45"/>
  <c r="BE34" i="45"/>
  <c r="BD34" i="45"/>
  <c r="BC34" i="45"/>
  <c r="BB34" i="45"/>
  <c r="BA34" i="45"/>
  <c r="AZ34" i="45"/>
  <c r="AY34" i="45"/>
  <c r="AX34" i="45"/>
  <c r="AW34" i="45"/>
  <c r="BB33" i="45"/>
  <c r="BF32" i="45"/>
  <c r="BE32" i="45"/>
  <c r="BD32" i="45"/>
  <c r="BC32" i="45"/>
  <c r="BB32" i="45"/>
  <c r="BA32" i="45"/>
  <c r="AZ32" i="45"/>
  <c r="AY32" i="45"/>
  <c r="AX32" i="45"/>
  <c r="AW32" i="45"/>
  <c r="BB31" i="45"/>
  <c r="BF30" i="45"/>
  <c r="BE30" i="45"/>
  <c r="BD30" i="45"/>
  <c r="BC30" i="45"/>
  <c r="BB30" i="45"/>
  <c r="BA30" i="45"/>
  <c r="AZ30" i="45"/>
  <c r="AY30" i="45"/>
  <c r="AX30" i="45"/>
  <c r="AW30" i="45"/>
  <c r="BB29" i="45"/>
  <c r="BF28" i="45"/>
  <c r="BE28" i="45"/>
  <c r="BD28" i="45"/>
  <c r="BC28" i="45"/>
  <c r="BB28" i="45"/>
  <c r="BA28" i="45"/>
  <c r="AZ28" i="45"/>
  <c r="AY28" i="45"/>
  <c r="AX28" i="45"/>
  <c r="AW28" i="45"/>
  <c r="BB27" i="45"/>
  <c r="BF26" i="45"/>
  <c r="BE26" i="45"/>
  <c r="BD26" i="45"/>
  <c r="BC26" i="45"/>
  <c r="BB26" i="45"/>
  <c r="BA26" i="45"/>
  <c r="AZ26" i="45"/>
  <c r="AY26" i="45"/>
  <c r="AX26" i="45"/>
  <c r="AW26" i="45"/>
  <c r="BB25" i="45"/>
  <c r="BF24" i="45"/>
  <c r="BE24" i="45"/>
  <c r="BD24" i="45"/>
  <c r="BC24" i="45"/>
  <c r="BB24" i="45"/>
  <c r="BA24" i="45"/>
  <c r="AZ24" i="45"/>
  <c r="AY24" i="45"/>
  <c r="AX24" i="45"/>
  <c r="AW24" i="45"/>
  <c r="BB23" i="45"/>
  <c r="BF22" i="45"/>
  <c r="BE22" i="45"/>
  <c r="BD22" i="45"/>
  <c r="BC22" i="45"/>
  <c r="BB22" i="45"/>
  <c r="BA22" i="45"/>
  <c r="AZ22" i="45"/>
  <c r="AY22" i="45"/>
  <c r="AX22" i="45"/>
  <c r="AW22" i="45"/>
  <c r="BB21" i="45"/>
  <c r="BF20" i="45"/>
  <c r="BE20" i="45"/>
  <c r="BD20" i="45"/>
  <c r="BC20" i="45"/>
  <c r="BB20" i="45"/>
  <c r="BA20" i="45"/>
  <c r="AZ20" i="45"/>
  <c r="AY20" i="45"/>
  <c r="AX20" i="45"/>
  <c r="AW20" i="45"/>
  <c r="BB19" i="45"/>
  <c r="BF18" i="45"/>
  <c r="BE18" i="45"/>
  <c r="BD18" i="45"/>
  <c r="BC18" i="45"/>
  <c r="BB18" i="45"/>
  <c r="BA18" i="45"/>
  <c r="AZ18" i="45"/>
  <c r="AY18" i="45"/>
  <c r="AX18" i="45"/>
  <c r="AW18" i="45"/>
  <c r="BB17" i="45"/>
  <c r="BF16" i="45"/>
  <c r="BE16" i="45"/>
  <c r="BD16" i="45"/>
  <c r="BC16" i="45"/>
  <c r="BB16" i="45"/>
  <c r="BA16" i="45"/>
  <c r="AZ16" i="45"/>
  <c r="AY16" i="45"/>
  <c r="AX16" i="45"/>
  <c r="AW16" i="45"/>
  <c r="BB15" i="45"/>
  <c r="BF14" i="45"/>
  <c r="BE14" i="45"/>
  <c r="BD14" i="45"/>
  <c r="BC14" i="45"/>
  <c r="BB14" i="45"/>
  <c r="BA14" i="45"/>
  <c r="AZ14" i="45"/>
  <c r="AY14" i="45"/>
  <c r="AX14" i="45"/>
  <c r="AW14" i="45"/>
  <c r="BB13" i="45"/>
  <c r="BF12" i="45"/>
  <c r="BE12" i="45"/>
  <c r="BD12" i="45"/>
  <c r="BC12" i="45"/>
  <c r="BB12" i="45"/>
  <c r="BA12" i="45"/>
  <c r="AZ12" i="45"/>
  <c r="AY12" i="45"/>
  <c r="AX12" i="45"/>
  <c r="AW12" i="45"/>
  <c r="BB11" i="45"/>
  <c r="BF10" i="45"/>
  <c r="BE10" i="45"/>
  <c r="BE66" i="45" s="1"/>
  <c r="T52" i="45" s="1"/>
  <c r="BD10" i="45"/>
  <c r="BC10" i="45"/>
  <c r="BB10" i="45"/>
  <c r="BA10" i="45"/>
  <c r="BA66" i="45" s="1"/>
  <c r="AZ10" i="45"/>
  <c r="AY10" i="45"/>
  <c r="AX10" i="45"/>
  <c r="AW10" i="45"/>
  <c r="AW66" i="45" s="1"/>
  <c r="D4" i="45" s="1"/>
  <c r="BB65" i="44"/>
  <c r="BF64" i="44"/>
  <c r="BE64" i="44"/>
  <c r="BD64" i="44"/>
  <c r="BC64" i="44"/>
  <c r="BB64" i="44"/>
  <c r="BA64" i="44"/>
  <c r="AZ64" i="44"/>
  <c r="AY64" i="44"/>
  <c r="AX64" i="44"/>
  <c r="AW64" i="44"/>
  <c r="BB63" i="44"/>
  <c r="BF62" i="44"/>
  <c r="BE62" i="44"/>
  <c r="BD62" i="44"/>
  <c r="BC62" i="44"/>
  <c r="BB62" i="44"/>
  <c r="BA62" i="44"/>
  <c r="AZ62" i="44"/>
  <c r="AY62" i="44"/>
  <c r="AX62" i="44"/>
  <c r="AW62" i="44"/>
  <c r="BB61" i="44"/>
  <c r="BF60" i="44"/>
  <c r="BE60" i="44"/>
  <c r="BD60" i="44"/>
  <c r="BC60" i="44"/>
  <c r="BB60" i="44"/>
  <c r="BA60" i="44"/>
  <c r="AZ60" i="44"/>
  <c r="AY60" i="44"/>
  <c r="AX60" i="44"/>
  <c r="AW60" i="44"/>
  <c r="BB59" i="44"/>
  <c r="BF58" i="44"/>
  <c r="BE58" i="44"/>
  <c r="BD58" i="44"/>
  <c r="BC58" i="44"/>
  <c r="BB58" i="44"/>
  <c r="BA58" i="44"/>
  <c r="AZ58" i="44"/>
  <c r="AY58" i="44"/>
  <c r="AX58" i="44"/>
  <c r="AW58" i="44"/>
  <c r="BB57" i="44"/>
  <c r="BF56" i="44"/>
  <c r="BE56" i="44"/>
  <c r="BD56" i="44"/>
  <c r="BC56" i="44"/>
  <c r="BB56" i="44"/>
  <c r="BA56" i="44"/>
  <c r="AZ56" i="44"/>
  <c r="AY56" i="44"/>
  <c r="AX56" i="44"/>
  <c r="AW56" i="44"/>
  <c r="BB55" i="44"/>
  <c r="BF54" i="44"/>
  <c r="BE54" i="44"/>
  <c r="BD54" i="44"/>
  <c r="BC54" i="44"/>
  <c r="BB54" i="44"/>
  <c r="BA54" i="44"/>
  <c r="AZ54" i="44"/>
  <c r="AY54" i="44"/>
  <c r="AX54" i="44"/>
  <c r="AW54" i="44"/>
  <c r="BB53" i="44"/>
  <c r="BB49" i="44"/>
  <c r="BF48" i="44"/>
  <c r="BE48" i="44"/>
  <c r="BD48" i="44"/>
  <c r="BC48" i="44"/>
  <c r="BB48" i="44"/>
  <c r="BA48" i="44"/>
  <c r="AZ48" i="44"/>
  <c r="AY48" i="44"/>
  <c r="AX48" i="44"/>
  <c r="AW48" i="44"/>
  <c r="BB47" i="44"/>
  <c r="BF46" i="44"/>
  <c r="BE46" i="44"/>
  <c r="BD46" i="44"/>
  <c r="BC46" i="44"/>
  <c r="BB46" i="44"/>
  <c r="BA46" i="44"/>
  <c r="AZ46" i="44"/>
  <c r="AY46" i="44"/>
  <c r="AX46" i="44"/>
  <c r="AW46" i="44"/>
  <c r="BB45" i="44"/>
  <c r="BF44" i="44"/>
  <c r="BE44" i="44"/>
  <c r="BD44" i="44"/>
  <c r="BC44" i="44"/>
  <c r="BB44" i="44"/>
  <c r="BA44" i="44"/>
  <c r="AZ44" i="44"/>
  <c r="AY44" i="44"/>
  <c r="AX44" i="44"/>
  <c r="AW44" i="44"/>
  <c r="BB43" i="44"/>
  <c r="BF42" i="44"/>
  <c r="BE42" i="44"/>
  <c r="BD42" i="44"/>
  <c r="BC42" i="44"/>
  <c r="BB42" i="44"/>
  <c r="BA42" i="44"/>
  <c r="AZ42" i="44"/>
  <c r="AY42" i="44"/>
  <c r="AX42" i="44"/>
  <c r="AW42" i="44"/>
  <c r="BB41" i="44"/>
  <c r="BB39" i="44"/>
  <c r="BF38" i="44"/>
  <c r="BE38" i="44"/>
  <c r="BD38" i="44"/>
  <c r="BC38" i="44"/>
  <c r="BB38" i="44"/>
  <c r="BA38" i="44"/>
  <c r="AZ38" i="44"/>
  <c r="AY38" i="44"/>
  <c r="AX38" i="44"/>
  <c r="AW38" i="44"/>
  <c r="BB37" i="44"/>
  <c r="BF36" i="44"/>
  <c r="BE36" i="44"/>
  <c r="BD36" i="44"/>
  <c r="BC36" i="44"/>
  <c r="BB36" i="44"/>
  <c r="BA36" i="44"/>
  <c r="AZ36" i="44"/>
  <c r="AY36" i="44"/>
  <c r="AX36" i="44"/>
  <c r="AW36" i="44"/>
  <c r="BB35" i="44"/>
  <c r="BF34" i="44"/>
  <c r="BE34" i="44"/>
  <c r="BD34" i="44"/>
  <c r="BC34" i="44"/>
  <c r="BB34" i="44"/>
  <c r="BA34" i="44"/>
  <c r="AZ34" i="44"/>
  <c r="AY34" i="44"/>
  <c r="AX34" i="44"/>
  <c r="AW34" i="44"/>
  <c r="BB33" i="44"/>
  <c r="BF32" i="44"/>
  <c r="BE32" i="44"/>
  <c r="BD32" i="44"/>
  <c r="BC32" i="44"/>
  <c r="BB32" i="44"/>
  <c r="BA32" i="44"/>
  <c r="AZ32" i="44"/>
  <c r="AY32" i="44"/>
  <c r="AX32" i="44"/>
  <c r="AW32" i="44"/>
  <c r="BB31" i="44"/>
  <c r="BF30" i="44"/>
  <c r="BE30" i="44"/>
  <c r="BD30" i="44"/>
  <c r="BC30" i="44"/>
  <c r="BB30" i="44"/>
  <c r="BA30" i="44"/>
  <c r="AZ30" i="44"/>
  <c r="AY30" i="44"/>
  <c r="AX30" i="44"/>
  <c r="AW30" i="44"/>
  <c r="BB29" i="44"/>
  <c r="BF28" i="44"/>
  <c r="BE28" i="44"/>
  <c r="BD28" i="44"/>
  <c r="BC28" i="44"/>
  <c r="BB28" i="44"/>
  <c r="BA28" i="44"/>
  <c r="AZ28" i="44"/>
  <c r="AY28" i="44"/>
  <c r="AX28" i="44"/>
  <c r="AW28" i="44"/>
  <c r="BB27" i="44"/>
  <c r="BF26" i="44"/>
  <c r="BE26" i="44"/>
  <c r="BD26" i="44"/>
  <c r="BC26" i="44"/>
  <c r="BB26" i="44"/>
  <c r="BA26" i="44"/>
  <c r="AZ26" i="44"/>
  <c r="AY26" i="44"/>
  <c r="AX26" i="44"/>
  <c r="AW26" i="44"/>
  <c r="BB25" i="44"/>
  <c r="BF24" i="44"/>
  <c r="BE24" i="44"/>
  <c r="BD24" i="44"/>
  <c r="BC24" i="44"/>
  <c r="BB24" i="44"/>
  <c r="BA24" i="44"/>
  <c r="AZ24" i="44"/>
  <c r="AY24" i="44"/>
  <c r="AX24" i="44"/>
  <c r="AW24" i="44"/>
  <c r="BB23" i="44"/>
  <c r="BF22" i="44"/>
  <c r="BE22" i="44"/>
  <c r="BD22" i="44"/>
  <c r="BC22" i="44"/>
  <c r="BB22" i="44"/>
  <c r="BA22" i="44"/>
  <c r="AZ22" i="44"/>
  <c r="AY22" i="44"/>
  <c r="AX22" i="44"/>
  <c r="AW22" i="44"/>
  <c r="BB21" i="44"/>
  <c r="BF20" i="44"/>
  <c r="BE20" i="44"/>
  <c r="BD20" i="44"/>
  <c r="BC20" i="44"/>
  <c r="BB20" i="44"/>
  <c r="BA20" i="44"/>
  <c r="AZ20" i="44"/>
  <c r="AY20" i="44"/>
  <c r="AX20" i="44"/>
  <c r="AW20" i="44"/>
  <c r="BB19" i="44"/>
  <c r="BF18" i="44"/>
  <c r="BE18" i="44"/>
  <c r="BD18" i="44"/>
  <c r="BC18" i="44"/>
  <c r="BB18" i="44"/>
  <c r="BA18" i="44"/>
  <c r="AZ18" i="44"/>
  <c r="AY18" i="44"/>
  <c r="AX18" i="44"/>
  <c r="AW18" i="44"/>
  <c r="BB17" i="44"/>
  <c r="BF16" i="44"/>
  <c r="BE16" i="44"/>
  <c r="BD16" i="44"/>
  <c r="BC16" i="44"/>
  <c r="BB16" i="44"/>
  <c r="BA16" i="44"/>
  <c r="AZ16" i="44"/>
  <c r="AY16" i="44"/>
  <c r="AX16" i="44"/>
  <c r="AW16" i="44"/>
  <c r="BB15" i="44"/>
  <c r="BF14" i="44"/>
  <c r="BE14" i="44"/>
  <c r="BD14" i="44"/>
  <c r="BC14" i="44"/>
  <c r="BB14" i="44"/>
  <c r="BA14" i="44"/>
  <c r="AZ14" i="44"/>
  <c r="AY14" i="44"/>
  <c r="AX14" i="44"/>
  <c r="AW14" i="44"/>
  <c r="BB13" i="44"/>
  <c r="BF12" i="44"/>
  <c r="BE12" i="44"/>
  <c r="BD12" i="44"/>
  <c r="BC12" i="44"/>
  <c r="BB12" i="44"/>
  <c r="BA12" i="44"/>
  <c r="AZ12" i="44"/>
  <c r="AY12" i="44"/>
  <c r="AX12" i="44"/>
  <c r="AW12" i="44"/>
  <c r="BB11" i="44"/>
  <c r="BF10" i="44"/>
  <c r="BF66" i="44" s="1"/>
  <c r="AJ52" i="44" s="1"/>
  <c r="BE10" i="44"/>
  <c r="BD10" i="44"/>
  <c r="BC10" i="44"/>
  <c r="BB10" i="44"/>
  <c r="BB66" i="44" s="1"/>
  <c r="BA10" i="44"/>
  <c r="AZ10" i="44"/>
  <c r="AY10" i="44"/>
  <c r="AX10" i="44"/>
  <c r="AX66" i="44" s="1"/>
  <c r="D6" i="44" s="1"/>
  <c r="AW10" i="44"/>
  <c r="BB65" i="43"/>
  <c r="BF64" i="43"/>
  <c r="BE64" i="43"/>
  <c r="BD64" i="43"/>
  <c r="BC64" i="43"/>
  <c r="BB64" i="43"/>
  <c r="BA64" i="43"/>
  <c r="AZ64" i="43"/>
  <c r="AY64" i="43"/>
  <c r="AX64" i="43"/>
  <c r="AW64" i="43"/>
  <c r="BB63" i="43"/>
  <c r="BF62" i="43"/>
  <c r="BE62" i="43"/>
  <c r="BD62" i="43"/>
  <c r="BC62" i="43"/>
  <c r="BB62" i="43"/>
  <c r="BA62" i="43"/>
  <c r="AZ62" i="43"/>
  <c r="AY62" i="43"/>
  <c r="AX62" i="43"/>
  <c r="AW62" i="43"/>
  <c r="BB61" i="43"/>
  <c r="BF60" i="43"/>
  <c r="BE60" i="43"/>
  <c r="BD60" i="43"/>
  <c r="BC60" i="43"/>
  <c r="BB60" i="43"/>
  <c r="BA60" i="43"/>
  <c r="AZ60" i="43"/>
  <c r="AY60" i="43"/>
  <c r="AX60" i="43"/>
  <c r="AW60" i="43"/>
  <c r="BB59" i="43"/>
  <c r="BF58" i="43"/>
  <c r="BE58" i="43"/>
  <c r="BD58" i="43"/>
  <c r="BC58" i="43"/>
  <c r="BB58" i="43"/>
  <c r="BA58" i="43"/>
  <c r="AZ58" i="43"/>
  <c r="AY58" i="43"/>
  <c r="AX58" i="43"/>
  <c r="AW58" i="43"/>
  <c r="BB57" i="43"/>
  <c r="BF56" i="43"/>
  <c r="BE56" i="43"/>
  <c r="BD56" i="43"/>
  <c r="BC56" i="43"/>
  <c r="BB56" i="43"/>
  <c r="BA56" i="43"/>
  <c r="AZ56" i="43"/>
  <c r="AY56" i="43"/>
  <c r="AX56" i="43"/>
  <c r="AW56" i="43"/>
  <c r="BB55" i="43"/>
  <c r="BF54" i="43"/>
  <c r="BE54" i="43"/>
  <c r="BD54" i="43"/>
  <c r="BC54" i="43"/>
  <c r="BB54" i="43"/>
  <c r="BA54" i="43"/>
  <c r="AZ54" i="43"/>
  <c r="AY54" i="43"/>
  <c r="AX54" i="43"/>
  <c r="AW54" i="43"/>
  <c r="BB53" i="43"/>
  <c r="BB49" i="43"/>
  <c r="BF48" i="43"/>
  <c r="BE48" i="43"/>
  <c r="BD48" i="43"/>
  <c r="BC48" i="43"/>
  <c r="BB48" i="43"/>
  <c r="BA48" i="43"/>
  <c r="AZ48" i="43"/>
  <c r="AY48" i="43"/>
  <c r="AX48" i="43"/>
  <c r="AW48" i="43"/>
  <c r="BB47" i="43"/>
  <c r="BF46" i="43"/>
  <c r="BE46" i="43"/>
  <c r="BD46" i="43"/>
  <c r="BC46" i="43"/>
  <c r="BB46" i="43"/>
  <c r="BA46" i="43"/>
  <c r="AZ46" i="43"/>
  <c r="AY46" i="43"/>
  <c r="AX46" i="43"/>
  <c r="AW46" i="43"/>
  <c r="BB45" i="43"/>
  <c r="BF44" i="43"/>
  <c r="BE44" i="43"/>
  <c r="BD44" i="43"/>
  <c r="BC44" i="43"/>
  <c r="BB44" i="43"/>
  <c r="BA44" i="43"/>
  <c r="AZ44" i="43"/>
  <c r="AY44" i="43"/>
  <c r="AX44" i="43"/>
  <c r="AW44" i="43"/>
  <c r="BB43" i="43"/>
  <c r="BF42" i="43"/>
  <c r="BE42" i="43"/>
  <c r="BD42" i="43"/>
  <c r="BC42" i="43"/>
  <c r="BB42" i="43"/>
  <c r="BA42" i="43"/>
  <c r="AZ42" i="43"/>
  <c r="AY42" i="43"/>
  <c r="AX42" i="43"/>
  <c r="AW42" i="43"/>
  <c r="BB41" i="43"/>
  <c r="BB39" i="43"/>
  <c r="BF38" i="43"/>
  <c r="BE38" i="43"/>
  <c r="BD38" i="43"/>
  <c r="BC38" i="43"/>
  <c r="BB38" i="43"/>
  <c r="BA38" i="43"/>
  <c r="AZ38" i="43"/>
  <c r="AY38" i="43"/>
  <c r="AX38" i="43"/>
  <c r="AW38" i="43"/>
  <c r="BB37" i="43"/>
  <c r="BF36" i="43"/>
  <c r="BE36" i="43"/>
  <c r="BD36" i="43"/>
  <c r="BC36" i="43"/>
  <c r="BB36" i="43"/>
  <c r="BA36" i="43"/>
  <c r="AZ36" i="43"/>
  <c r="AY36" i="43"/>
  <c r="AX36" i="43"/>
  <c r="AW36" i="43"/>
  <c r="BB35" i="43"/>
  <c r="BF34" i="43"/>
  <c r="BE34" i="43"/>
  <c r="BD34" i="43"/>
  <c r="BC34" i="43"/>
  <c r="BB34" i="43"/>
  <c r="BA34" i="43"/>
  <c r="AZ34" i="43"/>
  <c r="AY34" i="43"/>
  <c r="AX34" i="43"/>
  <c r="AW34" i="43"/>
  <c r="BB33" i="43"/>
  <c r="BF32" i="43"/>
  <c r="BE32" i="43"/>
  <c r="BD32" i="43"/>
  <c r="BC32" i="43"/>
  <c r="BB32" i="43"/>
  <c r="BA32" i="43"/>
  <c r="AZ32" i="43"/>
  <c r="AY32" i="43"/>
  <c r="AX32" i="43"/>
  <c r="AW32" i="43"/>
  <c r="BB31" i="43"/>
  <c r="BF30" i="43"/>
  <c r="BE30" i="43"/>
  <c r="BD30" i="43"/>
  <c r="BC30" i="43"/>
  <c r="BB30" i="43"/>
  <c r="BA30" i="43"/>
  <c r="AZ30" i="43"/>
  <c r="AY30" i="43"/>
  <c r="AX30" i="43"/>
  <c r="AW30" i="43"/>
  <c r="BB29" i="43"/>
  <c r="BF28" i="43"/>
  <c r="BE28" i="43"/>
  <c r="BD28" i="43"/>
  <c r="BC28" i="43"/>
  <c r="BB28" i="43"/>
  <c r="BA28" i="43"/>
  <c r="AZ28" i="43"/>
  <c r="AY28" i="43"/>
  <c r="AX28" i="43"/>
  <c r="AW28" i="43"/>
  <c r="BB27" i="43"/>
  <c r="BF26" i="43"/>
  <c r="BE26" i="43"/>
  <c r="BD26" i="43"/>
  <c r="BC26" i="43"/>
  <c r="BB26" i="43"/>
  <c r="BA26" i="43"/>
  <c r="AZ26" i="43"/>
  <c r="AY26" i="43"/>
  <c r="AX26" i="43"/>
  <c r="AW26" i="43"/>
  <c r="BB25" i="43"/>
  <c r="BF24" i="43"/>
  <c r="BE24" i="43"/>
  <c r="BD24" i="43"/>
  <c r="BC24" i="43"/>
  <c r="BB24" i="43"/>
  <c r="BA24" i="43"/>
  <c r="AZ24" i="43"/>
  <c r="AY24" i="43"/>
  <c r="AX24" i="43"/>
  <c r="AW24" i="43"/>
  <c r="BB23" i="43"/>
  <c r="BF22" i="43"/>
  <c r="BE22" i="43"/>
  <c r="BD22" i="43"/>
  <c r="BC22" i="43"/>
  <c r="BB22" i="43"/>
  <c r="BA22" i="43"/>
  <c r="AZ22" i="43"/>
  <c r="AY22" i="43"/>
  <c r="AX22" i="43"/>
  <c r="AW22" i="43"/>
  <c r="BB21" i="43"/>
  <c r="BF20" i="43"/>
  <c r="BE20" i="43"/>
  <c r="BD20" i="43"/>
  <c r="BC20" i="43"/>
  <c r="BB20" i="43"/>
  <c r="BA20" i="43"/>
  <c r="AZ20" i="43"/>
  <c r="AY20" i="43"/>
  <c r="AX20" i="43"/>
  <c r="AW20" i="43"/>
  <c r="BB19" i="43"/>
  <c r="BF18" i="43"/>
  <c r="BE18" i="43"/>
  <c r="BD18" i="43"/>
  <c r="BC18" i="43"/>
  <c r="BB18" i="43"/>
  <c r="BA18" i="43"/>
  <c r="AZ18" i="43"/>
  <c r="AY18" i="43"/>
  <c r="AX18" i="43"/>
  <c r="AW18" i="43"/>
  <c r="BB17" i="43"/>
  <c r="BF16" i="43"/>
  <c r="BE16" i="43"/>
  <c r="BD16" i="43"/>
  <c r="BC16" i="43"/>
  <c r="BB16" i="43"/>
  <c r="BA16" i="43"/>
  <c r="AZ16" i="43"/>
  <c r="AY16" i="43"/>
  <c r="AX16" i="43"/>
  <c r="AW16" i="43"/>
  <c r="BB15" i="43"/>
  <c r="BF14" i="43"/>
  <c r="BE14" i="43"/>
  <c r="BD14" i="43"/>
  <c r="BC14" i="43"/>
  <c r="BB14" i="43"/>
  <c r="BA14" i="43"/>
  <c r="AZ14" i="43"/>
  <c r="AY14" i="43"/>
  <c r="AX14" i="43"/>
  <c r="AW14" i="43"/>
  <c r="BB13" i="43"/>
  <c r="BF12" i="43"/>
  <c r="BE12" i="43"/>
  <c r="BD12" i="43"/>
  <c r="BC12" i="43"/>
  <c r="BB12" i="43"/>
  <c r="BA12" i="43"/>
  <c r="AZ12" i="43"/>
  <c r="AY12" i="43"/>
  <c r="AX12" i="43"/>
  <c r="AW12" i="43"/>
  <c r="BB11" i="43"/>
  <c r="BF10" i="43"/>
  <c r="BE10" i="43"/>
  <c r="BD10" i="43"/>
  <c r="BC10" i="43"/>
  <c r="BC66" i="43" s="1"/>
  <c r="AJ2" i="43" s="1"/>
  <c r="BB10" i="43"/>
  <c r="BA10" i="43"/>
  <c r="AZ10" i="43"/>
  <c r="AY10" i="43"/>
  <c r="AY66" i="43" s="1"/>
  <c r="T4" i="43" s="1"/>
  <c r="AX10" i="43"/>
  <c r="AW10" i="43"/>
  <c r="BB65" i="42"/>
  <c r="BF64" i="42"/>
  <c r="BE64" i="42"/>
  <c r="BD64" i="42"/>
  <c r="BC64" i="42"/>
  <c r="BB64" i="42"/>
  <c r="BA64" i="42"/>
  <c r="AZ64" i="42"/>
  <c r="AY64" i="42"/>
  <c r="AX64" i="42"/>
  <c r="AW64" i="42"/>
  <c r="BB63" i="42"/>
  <c r="BF62" i="42"/>
  <c r="BE62" i="42"/>
  <c r="BD62" i="42"/>
  <c r="BC62" i="42"/>
  <c r="BB62" i="42"/>
  <c r="BA62" i="42"/>
  <c r="AZ62" i="42"/>
  <c r="AY62" i="42"/>
  <c r="AX62" i="42"/>
  <c r="AW62" i="42"/>
  <c r="BB61" i="42"/>
  <c r="BF60" i="42"/>
  <c r="BE60" i="42"/>
  <c r="BD60" i="42"/>
  <c r="BC60" i="42"/>
  <c r="BB60" i="42"/>
  <c r="BA60" i="42"/>
  <c r="AZ60" i="42"/>
  <c r="AY60" i="42"/>
  <c r="AX60" i="42"/>
  <c r="AW60" i="42"/>
  <c r="BB59" i="42"/>
  <c r="BF58" i="42"/>
  <c r="BE58" i="42"/>
  <c r="BD58" i="42"/>
  <c r="BC58" i="42"/>
  <c r="BB58" i="42"/>
  <c r="BA58" i="42"/>
  <c r="AZ58" i="42"/>
  <c r="AY58" i="42"/>
  <c r="AX58" i="42"/>
  <c r="AW58" i="42"/>
  <c r="BB57" i="42"/>
  <c r="BF56" i="42"/>
  <c r="BE56" i="42"/>
  <c r="BD56" i="42"/>
  <c r="BC56" i="42"/>
  <c r="BB56" i="42"/>
  <c r="BA56" i="42"/>
  <c r="AZ56" i="42"/>
  <c r="AY56" i="42"/>
  <c r="AX56" i="42"/>
  <c r="AW56" i="42"/>
  <c r="BB55" i="42"/>
  <c r="BF54" i="42"/>
  <c r="BE54" i="42"/>
  <c r="BD54" i="42"/>
  <c r="BC54" i="42"/>
  <c r="BB54" i="42"/>
  <c r="BA54" i="42"/>
  <c r="AZ54" i="42"/>
  <c r="AY54" i="42"/>
  <c r="AX54" i="42"/>
  <c r="AW54" i="42"/>
  <c r="BB53" i="42"/>
  <c r="BB49" i="42"/>
  <c r="BF48" i="42"/>
  <c r="BE48" i="42"/>
  <c r="BD48" i="42"/>
  <c r="BC48" i="42"/>
  <c r="BB48" i="42"/>
  <c r="BA48" i="42"/>
  <c r="AZ48" i="42"/>
  <c r="AY48" i="42"/>
  <c r="AX48" i="42"/>
  <c r="AW48" i="42"/>
  <c r="BB47" i="42"/>
  <c r="BF46" i="42"/>
  <c r="BE46" i="42"/>
  <c r="BD46" i="42"/>
  <c r="BC46" i="42"/>
  <c r="BB46" i="42"/>
  <c r="BA46" i="42"/>
  <c r="AZ46" i="42"/>
  <c r="AY46" i="42"/>
  <c r="AX46" i="42"/>
  <c r="AW46" i="42"/>
  <c r="BB45" i="42"/>
  <c r="BF44" i="42"/>
  <c r="BE44" i="42"/>
  <c r="BD44" i="42"/>
  <c r="BC44" i="42"/>
  <c r="BB44" i="42"/>
  <c r="BA44" i="42"/>
  <c r="AZ44" i="42"/>
  <c r="AY44" i="42"/>
  <c r="AX44" i="42"/>
  <c r="AW44" i="42"/>
  <c r="BB43" i="42"/>
  <c r="BF42" i="42"/>
  <c r="BE42" i="42"/>
  <c r="BD42" i="42"/>
  <c r="BC42" i="42"/>
  <c r="BB42" i="42"/>
  <c r="BA42" i="42"/>
  <c r="AZ42" i="42"/>
  <c r="AY42" i="42"/>
  <c r="AX42" i="42"/>
  <c r="AW42" i="42"/>
  <c r="BB41" i="42"/>
  <c r="BB39" i="42"/>
  <c r="BF38" i="42"/>
  <c r="BE38" i="42"/>
  <c r="BD38" i="42"/>
  <c r="BC38" i="42"/>
  <c r="BB38" i="42"/>
  <c r="BA38" i="42"/>
  <c r="AZ38" i="42"/>
  <c r="AY38" i="42"/>
  <c r="AX38" i="42"/>
  <c r="AW38" i="42"/>
  <c r="BB37" i="42"/>
  <c r="BF36" i="42"/>
  <c r="BE36" i="42"/>
  <c r="BD36" i="42"/>
  <c r="BC36" i="42"/>
  <c r="BB36" i="42"/>
  <c r="BA36" i="42"/>
  <c r="AZ36" i="42"/>
  <c r="AY36" i="42"/>
  <c r="AX36" i="42"/>
  <c r="AW36" i="42"/>
  <c r="BB35" i="42"/>
  <c r="BF34" i="42"/>
  <c r="BE34" i="42"/>
  <c r="BD34" i="42"/>
  <c r="BC34" i="42"/>
  <c r="BB34" i="42"/>
  <c r="BA34" i="42"/>
  <c r="AZ34" i="42"/>
  <c r="AY34" i="42"/>
  <c r="AX34" i="42"/>
  <c r="AW34" i="42"/>
  <c r="BB33" i="42"/>
  <c r="BF32" i="42"/>
  <c r="BE32" i="42"/>
  <c r="BD32" i="42"/>
  <c r="BC32" i="42"/>
  <c r="BB32" i="42"/>
  <c r="BA32" i="42"/>
  <c r="AZ32" i="42"/>
  <c r="AY32" i="42"/>
  <c r="AX32" i="42"/>
  <c r="AW32" i="42"/>
  <c r="BB31" i="42"/>
  <c r="BF30" i="42"/>
  <c r="BE30" i="42"/>
  <c r="BD30" i="42"/>
  <c r="BC30" i="42"/>
  <c r="BB30" i="42"/>
  <c r="BA30" i="42"/>
  <c r="AZ30" i="42"/>
  <c r="AY30" i="42"/>
  <c r="AX30" i="42"/>
  <c r="AW30" i="42"/>
  <c r="BB29" i="42"/>
  <c r="BF28" i="42"/>
  <c r="BE28" i="42"/>
  <c r="BD28" i="42"/>
  <c r="BC28" i="42"/>
  <c r="BB28" i="42"/>
  <c r="BA28" i="42"/>
  <c r="AZ28" i="42"/>
  <c r="AY28" i="42"/>
  <c r="AX28" i="42"/>
  <c r="AW28" i="42"/>
  <c r="BB27" i="42"/>
  <c r="BF26" i="42"/>
  <c r="BE26" i="42"/>
  <c r="BD26" i="42"/>
  <c r="BC26" i="42"/>
  <c r="BB26" i="42"/>
  <c r="BA26" i="42"/>
  <c r="AZ26" i="42"/>
  <c r="AY26" i="42"/>
  <c r="AX26" i="42"/>
  <c r="AW26" i="42"/>
  <c r="BB25" i="42"/>
  <c r="BF24" i="42"/>
  <c r="BE24" i="42"/>
  <c r="BD24" i="42"/>
  <c r="BC24" i="42"/>
  <c r="BB24" i="42"/>
  <c r="BA24" i="42"/>
  <c r="AZ24" i="42"/>
  <c r="AY24" i="42"/>
  <c r="AX24" i="42"/>
  <c r="AW24" i="42"/>
  <c r="BB23" i="42"/>
  <c r="BF22" i="42"/>
  <c r="BE22" i="42"/>
  <c r="BD22" i="42"/>
  <c r="BC22" i="42"/>
  <c r="BB22" i="42"/>
  <c r="BA22" i="42"/>
  <c r="AZ22" i="42"/>
  <c r="AY22" i="42"/>
  <c r="AX22" i="42"/>
  <c r="AW22" i="42"/>
  <c r="BB21" i="42"/>
  <c r="BF20" i="42"/>
  <c r="BE20" i="42"/>
  <c r="BD20" i="42"/>
  <c r="BC20" i="42"/>
  <c r="BB20" i="42"/>
  <c r="BA20" i="42"/>
  <c r="AZ20" i="42"/>
  <c r="AY20" i="42"/>
  <c r="AX20" i="42"/>
  <c r="AW20" i="42"/>
  <c r="BB19" i="42"/>
  <c r="BF18" i="42"/>
  <c r="BE18" i="42"/>
  <c r="BD18" i="42"/>
  <c r="BC18" i="42"/>
  <c r="BB18" i="42"/>
  <c r="BA18" i="42"/>
  <c r="AZ18" i="42"/>
  <c r="AY18" i="42"/>
  <c r="AX18" i="42"/>
  <c r="AW18" i="42"/>
  <c r="BB17" i="42"/>
  <c r="BF16" i="42"/>
  <c r="BE16" i="42"/>
  <c r="BD16" i="42"/>
  <c r="BC16" i="42"/>
  <c r="BB16" i="42"/>
  <c r="BA16" i="42"/>
  <c r="AZ16" i="42"/>
  <c r="AY16" i="42"/>
  <c r="AX16" i="42"/>
  <c r="AW16" i="42"/>
  <c r="BB15" i="42"/>
  <c r="BF14" i="42"/>
  <c r="BE14" i="42"/>
  <c r="BD14" i="42"/>
  <c r="BC14" i="42"/>
  <c r="BB14" i="42"/>
  <c r="BA14" i="42"/>
  <c r="AZ14" i="42"/>
  <c r="AY14" i="42"/>
  <c r="AX14" i="42"/>
  <c r="AW14" i="42"/>
  <c r="BB13" i="42"/>
  <c r="BF12" i="42"/>
  <c r="BE12" i="42"/>
  <c r="BD12" i="42"/>
  <c r="BC12" i="42"/>
  <c r="BB12" i="42"/>
  <c r="BA12" i="42"/>
  <c r="AZ12" i="42"/>
  <c r="AY12" i="42"/>
  <c r="AX12" i="42"/>
  <c r="AW12" i="42"/>
  <c r="BB11" i="42"/>
  <c r="BF10" i="42"/>
  <c r="BE10" i="42"/>
  <c r="BD10" i="42"/>
  <c r="BD66" i="42" s="1"/>
  <c r="D52" i="42" s="1"/>
  <c r="BC10" i="42"/>
  <c r="BB10" i="42"/>
  <c r="BA10" i="42"/>
  <c r="AZ10" i="42"/>
  <c r="AZ66" i="42" s="1"/>
  <c r="AJ4" i="42" s="1"/>
  <c r="AY10" i="42"/>
  <c r="AX10" i="42"/>
  <c r="AW10" i="42"/>
  <c r="BB65" i="41"/>
  <c r="BF64" i="41"/>
  <c r="BE64" i="41"/>
  <c r="BD64" i="41"/>
  <c r="BC64" i="41"/>
  <c r="BB64" i="41"/>
  <c r="BA64" i="41"/>
  <c r="AZ64" i="41"/>
  <c r="AY64" i="41"/>
  <c r="AX64" i="41"/>
  <c r="AW64" i="41"/>
  <c r="BB63" i="41"/>
  <c r="BF62" i="41"/>
  <c r="BE62" i="41"/>
  <c r="BD62" i="41"/>
  <c r="BC62" i="41"/>
  <c r="BB62" i="41"/>
  <c r="BA62" i="41"/>
  <c r="AZ62" i="41"/>
  <c r="AY62" i="41"/>
  <c r="AX62" i="41"/>
  <c r="AW62" i="41"/>
  <c r="BB61" i="41"/>
  <c r="BF60" i="41"/>
  <c r="BE60" i="41"/>
  <c r="BD60" i="41"/>
  <c r="BC60" i="41"/>
  <c r="BB60" i="41"/>
  <c r="BA60" i="41"/>
  <c r="AZ60" i="41"/>
  <c r="AY60" i="41"/>
  <c r="AX60" i="41"/>
  <c r="AW60" i="41"/>
  <c r="BB59" i="41"/>
  <c r="BF58" i="41"/>
  <c r="BE58" i="41"/>
  <c r="BD58" i="41"/>
  <c r="BC58" i="41"/>
  <c r="BB58" i="41"/>
  <c r="BA58" i="41"/>
  <c r="AZ58" i="41"/>
  <c r="AY58" i="41"/>
  <c r="AX58" i="41"/>
  <c r="AW58" i="41"/>
  <c r="BB57" i="41"/>
  <c r="BF56" i="41"/>
  <c r="BE56" i="41"/>
  <c r="BD56" i="41"/>
  <c r="BC56" i="41"/>
  <c r="BB56" i="41"/>
  <c r="BA56" i="41"/>
  <c r="AZ56" i="41"/>
  <c r="AY56" i="41"/>
  <c r="AX56" i="41"/>
  <c r="AW56" i="41"/>
  <c r="BB55" i="41"/>
  <c r="BF54" i="41"/>
  <c r="BE54" i="41"/>
  <c r="BD54" i="41"/>
  <c r="BC54" i="41"/>
  <c r="BB54" i="41"/>
  <c r="BA54" i="41"/>
  <c r="AZ54" i="41"/>
  <c r="AY54" i="41"/>
  <c r="AX54" i="41"/>
  <c r="AW54" i="41"/>
  <c r="BB53" i="41"/>
  <c r="BB49" i="41"/>
  <c r="BF48" i="41"/>
  <c r="BE48" i="41"/>
  <c r="BD48" i="41"/>
  <c r="BC48" i="41"/>
  <c r="BB48" i="41"/>
  <c r="BA48" i="41"/>
  <c r="AZ48" i="41"/>
  <c r="AY48" i="41"/>
  <c r="AX48" i="41"/>
  <c r="AW48" i="41"/>
  <c r="BB47" i="41"/>
  <c r="BF46" i="41"/>
  <c r="BE46" i="41"/>
  <c r="BD46" i="41"/>
  <c r="BC46" i="41"/>
  <c r="BB46" i="41"/>
  <c r="BA46" i="41"/>
  <c r="AZ46" i="41"/>
  <c r="AY46" i="41"/>
  <c r="AX46" i="41"/>
  <c r="AW46" i="41"/>
  <c r="BB45" i="41"/>
  <c r="BF44" i="41"/>
  <c r="BE44" i="41"/>
  <c r="BD44" i="41"/>
  <c r="BC44" i="41"/>
  <c r="BB44" i="41"/>
  <c r="BA44" i="41"/>
  <c r="AZ44" i="41"/>
  <c r="AY44" i="41"/>
  <c r="AX44" i="41"/>
  <c r="AW44" i="41"/>
  <c r="BB43" i="41"/>
  <c r="BF42" i="41"/>
  <c r="BE42" i="41"/>
  <c r="BD42" i="41"/>
  <c r="BC42" i="41"/>
  <c r="BB42" i="41"/>
  <c r="BA42" i="41"/>
  <c r="AZ42" i="41"/>
  <c r="AY42" i="41"/>
  <c r="AX42" i="41"/>
  <c r="AW42" i="41"/>
  <c r="BB41" i="41"/>
  <c r="BB39" i="41"/>
  <c r="BF38" i="41"/>
  <c r="BE38" i="41"/>
  <c r="BD38" i="41"/>
  <c r="BC38" i="41"/>
  <c r="BB38" i="41"/>
  <c r="BA38" i="41"/>
  <c r="AZ38" i="41"/>
  <c r="AY38" i="41"/>
  <c r="AX38" i="41"/>
  <c r="AW38" i="41"/>
  <c r="BB37" i="41"/>
  <c r="BF36" i="41"/>
  <c r="BE36" i="41"/>
  <c r="BD36" i="41"/>
  <c r="BC36" i="41"/>
  <c r="BB36" i="41"/>
  <c r="BA36" i="41"/>
  <c r="AZ36" i="41"/>
  <c r="AY36" i="41"/>
  <c r="AX36" i="41"/>
  <c r="AW36" i="41"/>
  <c r="BB35" i="41"/>
  <c r="BF34" i="41"/>
  <c r="BE34" i="41"/>
  <c r="BD34" i="41"/>
  <c r="BC34" i="41"/>
  <c r="BB34" i="41"/>
  <c r="BA34" i="41"/>
  <c r="AZ34" i="41"/>
  <c r="AY34" i="41"/>
  <c r="AX34" i="41"/>
  <c r="AW34" i="41"/>
  <c r="BB33" i="41"/>
  <c r="BF32" i="41"/>
  <c r="BE32" i="41"/>
  <c r="BD32" i="41"/>
  <c r="BC32" i="41"/>
  <c r="BB32" i="41"/>
  <c r="BA32" i="41"/>
  <c r="AZ32" i="41"/>
  <c r="AY32" i="41"/>
  <c r="AX32" i="41"/>
  <c r="AW32" i="41"/>
  <c r="BB31" i="41"/>
  <c r="BF30" i="41"/>
  <c r="BE30" i="41"/>
  <c r="BD30" i="41"/>
  <c r="BC30" i="41"/>
  <c r="BB30" i="41"/>
  <c r="BA30" i="41"/>
  <c r="AZ30" i="41"/>
  <c r="AY30" i="41"/>
  <c r="AX30" i="41"/>
  <c r="AW30" i="41"/>
  <c r="BB29" i="41"/>
  <c r="BF28" i="41"/>
  <c r="BE28" i="41"/>
  <c r="BD28" i="41"/>
  <c r="BC28" i="41"/>
  <c r="BB28" i="41"/>
  <c r="BA28" i="41"/>
  <c r="AZ28" i="41"/>
  <c r="AY28" i="41"/>
  <c r="AX28" i="41"/>
  <c r="AW28" i="41"/>
  <c r="BB27" i="41"/>
  <c r="BF26" i="41"/>
  <c r="BE26" i="41"/>
  <c r="BD26" i="41"/>
  <c r="BC26" i="41"/>
  <c r="BB26" i="41"/>
  <c r="BA26" i="41"/>
  <c r="AZ26" i="41"/>
  <c r="AY26" i="41"/>
  <c r="AX26" i="41"/>
  <c r="AW26" i="41"/>
  <c r="BB25" i="41"/>
  <c r="BF24" i="41"/>
  <c r="BE24" i="41"/>
  <c r="BD24" i="41"/>
  <c r="BC24" i="41"/>
  <c r="BB24" i="41"/>
  <c r="BA24" i="41"/>
  <c r="AZ24" i="41"/>
  <c r="AY24" i="41"/>
  <c r="AX24" i="41"/>
  <c r="AW24" i="41"/>
  <c r="BB23" i="41"/>
  <c r="BF22" i="41"/>
  <c r="BE22" i="41"/>
  <c r="BD22" i="41"/>
  <c r="BC22" i="41"/>
  <c r="BB22" i="41"/>
  <c r="BA22" i="41"/>
  <c r="AZ22" i="41"/>
  <c r="AY22" i="41"/>
  <c r="AX22" i="41"/>
  <c r="AW22" i="41"/>
  <c r="BB21" i="41"/>
  <c r="BF20" i="41"/>
  <c r="BE20" i="41"/>
  <c r="BD20" i="41"/>
  <c r="BC20" i="41"/>
  <c r="BB20" i="41"/>
  <c r="BA20" i="41"/>
  <c r="AZ20" i="41"/>
  <c r="AY20" i="41"/>
  <c r="AX20" i="41"/>
  <c r="AW20" i="41"/>
  <c r="BB19" i="41"/>
  <c r="BF18" i="41"/>
  <c r="BE18" i="41"/>
  <c r="BD18" i="41"/>
  <c r="BC18" i="41"/>
  <c r="BB18" i="41"/>
  <c r="BA18" i="41"/>
  <c r="AZ18" i="41"/>
  <c r="AY18" i="41"/>
  <c r="AX18" i="41"/>
  <c r="AW18" i="41"/>
  <c r="BB17" i="41"/>
  <c r="BF16" i="41"/>
  <c r="BE16" i="41"/>
  <c r="BD16" i="41"/>
  <c r="BC16" i="41"/>
  <c r="BB16" i="41"/>
  <c r="BA16" i="41"/>
  <c r="AZ16" i="41"/>
  <c r="AY16" i="41"/>
  <c r="AX16" i="41"/>
  <c r="AW16" i="41"/>
  <c r="BB15" i="41"/>
  <c r="BF14" i="41"/>
  <c r="BE14" i="41"/>
  <c r="BD14" i="41"/>
  <c r="BC14" i="41"/>
  <c r="BB14" i="41"/>
  <c r="BA14" i="41"/>
  <c r="AZ14" i="41"/>
  <c r="AY14" i="41"/>
  <c r="AX14" i="41"/>
  <c r="AW14" i="41"/>
  <c r="BB13" i="41"/>
  <c r="BF12" i="41"/>
  <c r="BE12" i="41"/>
  <c r="BD12" i="41"/>
  <c r="BC12" i="41"/>
  <c r="BB12" i="41"/>
  <c r="BA12" i="41"/>
  <c r="AZ12" i="41"/>
  <c r="AY12" i="41"/>
  <c r="AX12" i="41"/>
  <c r="AW12" i="41"/>
  <c r="BB11" i="41"/>
  <c r="BF10" i="41"/>
  <c r="BE10" i="41"/>
  <c r="BE66" i="41" s="1"/>
  <c r="T52" i="41" s="1"/>
  <c r="BD10" i="41"/>
  <c r="BC10" i="41"/>
  <c r="BB10" i="41"/>
  <c r="BA10" i="41"/>
  <c r="BA66" i="41" s="1"/>
  <c r="AZ10" i="41"/>
  <c r="AY10" i="41"/>
  <c r="AX10" i="41"/>
  <c r="AW10" i="41"/>
  <c r="AW66" i="41" s="1"/>
  <c r="D4" i="41" s="1"/>
  <c r="BB65" i="40"/>
  <c r="BF64" i="40"/>
  <c r="BE64" i="40"/>
  <c r="BD64" i="40"/>
  <c r="BC64" i="40"/>
  <c r="BB64" i="40"/>
  <c r="BA64" i="40"/>
  <c r="AZ64" i="40"/>
  <c r="AY64" i="40"/>
  <c r="AX64" i="40"/>
  <c r="AW64" i="40"/>
  <c r="BB63" i="40"/>
  <c r="BF62" i="40"/>
  <c r="BE62" i="40"/>
  <c r="BD62" i="40"/>
  <c r="BC62" i="40"/>
  <c r="BB62" i="40"/>
  <c r="BA62" i="40"/>
  <c r="AZ62" i="40"/>
  <c r="AY62" i="40"/>
  <c r="AX62" i="40"/>
  <c r="AW62" i="40"/>
  <c r="BB61" i="40"/>
  <c r="BF60" i="40"/>
  <c r="BE60" i="40"/>
  <c r="BD60" i="40"/>
  <c r="BC60" i="40"/>
  <c r="BB60" i="40"/>
  <c r="BA60" i="40"/>
  <c r="AZ60" i="40"/>
  <c r="AY60" i="40"/>
  <c r="AX60" i="40"/>
  <c r="AW60" i="40"/>
  <c r="BB59" i="40"/>
  <c r="BF58" i="40"/>
  <c r="BE58" i="40"/>
  <c r="BD58" i="40"/>
  <c r="BC58" i="40"/>
  <c r="BB58" i="40"/>
  <c r="BA58" i="40"/>
  <c r="AZ58" i="40"/>
  <c r="AY58" i="40"/>
  <c r="AX58" i="40"/>
  <c r="AW58" i="40"/>
  <c r="BB57" i="40"/>
  <c r="BF56" i="40"/>
  <c r="BE56" i="40"/>
  <c r="BD56" i="40"/>
  <c r="BC56" i="40"/>
  <c r="BB56" i="40"/>
  <c r="BA56" i="40"/>
  <c r="AZ56" i="40"/>
  <c r="AY56" i="40"/>
  <c r="AX56" i="40"/>
  <c r="AW56" i="40"/>
  <c r="BB55" i="40"/>
  <c r="BF54" i="40"/>
  <c r="BE54" i="40"/>
  <c r="BD54" i="40"/>
  <c r="BC54" i="40"/>
  <c r="BB54" i="40"/>
  <c r="BA54" i="40"/>
  <c r="AZ54" i="40"/>
  <c r="AY54" i="40"/>
  <c r="AX54" i="40"/>
  <c r="AW54" i="40"/>
  <c r="BB53" i="40"/>
  <c r="BB49" i="40"/>
  <c r="BF48" i="40"/>
  <c r="BE48" i="40"/>
  <c r="BD48" i="40"/>
  <c r="BC48" i="40"/>
  <c r="BB48" i="40"/>
  <c r="BA48" i="40"/>
  <c r="AZ48" i="40"/>
  <c r="AY48" i="40"/>
  <c r="AX48" i="40"/>
  <c r="AW48" i="40"/>
  <c r="BB47" i="40"/>
  <c r="BF46" i="40"/>
  <c r="BE46" i="40"/>
  <c r="BD46" i="40"/>
  <c r="BC46" i="40"/>
  <c r="BB46" i="40"/>
  <c r="BA46" i="40"/>
  <c r="AZ46" i="40"/>
  <c r="AY46" i="40"/>
  <c r="AX46" i="40"/>
  <c r="AW46" i="40"/>
  <c r="BB45" i="40"/>
  <c r="BF44" i="40"/>
  <c r="BE44" i="40"/>
  <c r="BD44" i="40"/>
  <c r="BC44" i="40"/>
  <c r="BB44" i="40"/>
  <c r="BA44" i="40"/>
  <c r="AZ44" i="40"/>
  <c r="AY44" i="40"/>
  <c r="AX44" i="40"/>
  <c r="AW44" i="40"/>
  <c r="BB43" i="40"/>
  <c r="BF42" i="40"/>
  <c r="BE42" i="40"/>
  <c r="BD42" i="40"/>
  <c r="BC42" i="40"/>
  <c r="BB42" i="40"/>
  <c r="BA42" i="40"/>
  <c r="AZ42" i="40"/>
  <c r="AY42" i="40"/>
  <c r="AX42" i="40"/>
  <c r="AW42" i="40"/>
  <c r="BB41" i="40"/>
  <c r="BB39" i="40"/>
  <c r="BF38" i="40"/>
  <c r="BE38" i="40"/>
  <c r="BD38" i="40"/>
  <c r="BC38" i="40"/>
  <c r="BB38" i="40"/>
  <c r="BA38" i="40"/>
  <c r="AZ38" i="40"/>
  <c r="AY38" i="40"/>
  <c r="AX38" i="40"/>
  <c r="AW38" i="40"/>
  <c r="BB37" i="40"/>
  <c r="BF36" i="40"/>
  <c r="BE36" i="40"/>
  <c r="BD36" i="40"/>
  <c r="BC36" i="40"/>
  <c r="BB36" i="40"/>
  <c r="BA36" i="40"/>
  <c r="AZ36" i="40"/>
  <c r="AY36" i="40"/>
  <c r="AX36" i="40"/>
  <c r="AW36" i="40"/>
  <c r="BB35" i="40"/>
  <c r="BF34" i="40"/>
  <c r="BE34" i="40"/>
  <c r="BD34" i="40"/>
  <c r="BC34" i="40"/>
  <c r="BB34" i="40"/>
  <c r="BA34" i="40"/>
  <c r="AZ34" i="40"/>
  <c r="AY34" i="40"/>
  <c r="AX34" i="40"/>
  <c r="AW34" i="40"/>
  <c r="BB33" i="40"/>
  <c r="BF32" i="40"/>
  <c r="BE32" i="40"/>
  <c r="BD32" i="40"/>
  <c r="BC32" i="40"/>
  <c r="BB32" i="40"/>
  <c r="BA32" i="40"/>
  <c r="AZ32" i="40"/>
  <c r="AY32" i="40"/>
  <c r="AX32" i="40"/>
  <c r="AW32" i="40"/>
  <c r="BB31" i="40"/>
  <c r="BF30" i="40"/>
  <c r="BE30" i="40"/>
  <c r="BD30" i="40"/>
  <c r="BC30" i="40"/>
  <c r="BB30" i="40"/>
  <c r="BA30" i="40"/>
  <c r="AZ30" i="40"/>
  <c r="AY30" i="40"/>
  <c r="AX30" i="40"/>
  <c r="AW30" i="40"/>
  <c r="BB29" i="40"/>
  <c r="BF28" i="40"/>
  <c r="BE28" i="40"/>
  <c r="BD28" i="40"/>
  <c r="BC28" i="40"/>
  <c r="BB28" i="40"/>
  <c r="BA28" i="40"/>
  <c r="AZ28" i="40"/>
  <c r="AY28" i="40"/>
  <c r="AX28" i="40"/>
  <c r="AW28" i="40"/>
  <c r="BB27" i="40"/>
  <c r="BF26" i="40"/>
  <c r="BE26" i="40"/>
  <c r="BD26" i="40"/>
  <c r="BC26" i="40"/>
  <c r="BB26" i="40"/>
  <c r="BA26" i="40"/>
  <c r="AZ26" i="40"/>
  <c r="AY26" i="40"/>
  <c r="AX26" i="40"/>
  <c r="AW26" i="40"/>
  <c r="BB25" i="40"/>
  <c r="BF24" i="40"/>
  <c r="BE24" i="40"/>
  <c r="BD24" i="40"/>
  <c r="BC24" i="40"/>
  <c r="BB24" i="40"/>
  <c r="BA24" i="40"/>
  <c r="AZ24" i="40"/>
  <c r="AY24" i="40"/>
  <c r="AX24" i="40"/>
  <c r="AW24" i="40"/>
  <c r="BB23" i="40"/>
  <c r="BF22" i="40"/>
  <c r="BE22" i="40"/>
  <c r="BD22" i="40"/>
  <c r="BC22" i="40"/>
  <c r="BB22" i="40"/>
  <c r="BA22" i="40"/>
  <c r="AZ22" i="40"/>
  <c r="AY22" i="40"/>
  <c r="AX22" i="40"/>
  <c r="AW22" i="40"/>
  <c r="BB21" i="40"/>
  <c r="BF20" i="40"/>
  <c r="BE20" i="40"/>
  <c r="BD20" i="40"/>
  <c r="BC20" i="40"/>
  <c r="BB20" i="40"/>
  <c r="BA20" i="40"/>
  <c r="AZ20" i="40"/>
  <c r="AY20" i="40"/>
  <c r="AX20" i="40"/>
  <c r="AW20" i="40"/>
  <c r="BB19" i="40"/>
  <c r="BF18" i="40"/>
  <c r="BE18" i="40"/>
  <c r="BD18" i="40"/>
  <c r="BC18" i="40"/>
  <c r="BB18" i="40"/>
  <c r="BA18" i="40"/>
  <c r="AZ18" i="40"/>
  <c r="AY18" i="40"/>
  <c r="AX18" i="40"/>
  <c r="AW18" i="40"/>
  <c r="BB17" i="40"/>
  <c r="BF16" i="40"/>
  <c r="BE16" i="40"/>
  <c r="BD16" i="40"/>
  <c r="BC16" i="40"/>
  <c r="BB16" i="40"/>
  <c r="BA16" i="40"/>
  <c r="AZ16" i="40"/>
  <c r="AY16" i="40"/>
  <c r="AX16" i="40"/>
  <c r="AW16" i="40"/>
  <c r="BB15" i="40"/>
  <c r="BF14" i="40"/>
  <c r="BE14" i="40"/>
  <c r="BD14" i="40"/>
  <c r="BC14" i="40"/>
  <c r="BB14" i="40"/>
  <c r="BA14" i="40"/>
  <c r="AZ14" i="40"/>
  <c r="AY14" i="40"/>
  <c r="AX14" i="40"/>
  <c r="AW14" i="40"/>
  <c r="BB13" i="40"/>
  <c r="BF12" i="40"/>
  <c r="BE12" i="40"/>
  <c r="BD12" i="40"/>
  <c r="BC12" i="40"/>
  <c r="BB12" i="40"/>
  <c r="BA12" i="40"/>
  <c r="AZ12" i="40"/>
  <c r="AY12" i="40"/>
  <c r="AX12" i="40"/>
  <c r="AW12" i="40"/>
  <c r="BB11" i="40"/>
  <c r="BF10" i="40"/>
  <c r="BF66" i="40" s="1"/>
  <c r="AJ52" i="40" s="1"/>
  <c r="BE10" i="40"/>
  <c r="BD10" i="40"/>
  <c r="BC10" i="40"/>
  <c r="BB10" i="40"/>
  <c r="BB66" i="40" s="1"/>
  <c r="BA10" i="40"/>
  <c r="AZ10" i="40"/>
  <c r="AY10" i="40"/>
  <c r="AX10" i="40"/>
  <c r="AX66" i="40" s="1"/>
  <c r="D6" i="40" s="1"/>
  <c r="AW10" i="40"/>
  <c r="R12" i="5"/>
  <c r="R10" i="5"/>
  <c r="R8" i="5"/>
  <c r="BB65" i="39"/>
  <c r="BF64" i="39"/>
  <c r="BE64" i="39"/>
  <c r="BD64" i="39"/>
  <c r="BC64" i="39"/>
  <c r="BB64" i="39"/>
  <c r="BA64" i="39"/>
  <c r="AZ64" i="39"/>
  <c r="AY64" i="39"/>
  <c r="AX64" i="39"/>
  <c r="AW64" i="39"/>
  <c r="BB63" i="39"/>
  <c r="BF62" i="39"/>
  <c r="BE62" i="39"/>
  <c r="BD62" i="39"/>
  <c r="BC62" i="39"/>
  <c r="BB62" i="39"/>
  <c r="BA62" i="39"/>
  <c r="AZ62" i="39"/>
  <c r="AY62" i="39"/>
  <c r="AX62" i="39"/>
  <c r="AW62" i="39"/>
  <c r="BB61" i="39"/>
  <c r="BF60" i="39"/>
  <c r="BE60" i="39"/>
  <c r="BD60" i="39"/>
  <c r="BC60" i="39"/>
  <c r="BB60" i="39"/>
  <c r="BA60" i="39"/>
  <c r="AZ60" i="39"/>
  <c r="AY60" i="39"/>
  <c r="AX60" i="39"/>
  <c r="AW60" i="39"/>
  <c r="BB59" i="39"/>
  <c r="BF58" i="39"/>
  <c r="BE58" i="39"/>
  <c r="BD58" i="39"/>
  <c r="BC58" i="39"/>
  <c r="BB58" i="39"/>
  <c r="BA58" i="39"/>
  <c r="AZ58" i="39"/>
  <c r="AY58" i="39"/>
  <c r="AX58" i="39"/>
  <c r="AW58" i="39"/>
  <c r="BB57" i="39"/>
  <c r="BF56" i="39"/>
  <c r="BE56" i="39"/>
  <c r="BD56" i="39"/>
  <c r="BC56" i="39"/>
  <c r="BB56" i="39"/>
  <c r="BA56" i="39"/>
  <c r="AZ56" i="39"/>
  <c r="AY56" i="39"/>
  <c r="AX56" i="39"/>
  <c r="AW56" i="39"/>
  <c r="BB55" i="39"/>
  <c r="BF54" i="39"/>
  <c r="BE54" i="39"/>
  <c r="BD54" i="39"/>
  <c r="BC54" i="39"/>
  <c r="BB54" i="39"/>
  <c r="BA54" i="39"/>
  <c r="AZ54" i="39"/>
  <c r="AY54" i="39"/>
  <c r="AX54" i="39"/>
  <c r="AW54" i="39"/>
  <c r="BB53" i="39"/>
  <c r="BB49" i="39"/>
  <c r="BF48" i="39"/>
  <c r="BE48" i="39"/>
  <c r="BD48" i="39"/>
  <c r="BC48" i="39"/>
  <c r="BB48" i="39"/>
  <c r="BA48" i="39"/>
  <c r="AZ48" i="39"/>
  <c r="AY48" i="39"/>
  <c r="AX48" i="39"/>
  <c r="AW48" i="39"/>
  <c r="BB47" i="39"/>
  <c r="BF46" i="39"/>
  <c r="BE46" i="39"/>
  <c r="BD46" i="39"/>
  <c r="BC46" i="39"/>
  <c r="BB46" i="39"/>
  <c r="BA46" i="39"/>
  <c r="AZ46" i="39"/>
  <c r="AY46" i="39"/>
  <c r="AX46" i="39"/>
  <c r="AW46" i="39"/>
  <c r="BB45" i="39"/>
  <c r="BF44" i="39"/>
  <c r="BE44" i="39"/>
  <c r="BD44" i="39"/>
  <c r="BC44" i="39"/>
  <c r="BB44" i="39"/>
  <c r="BA44" i="39"/>
  <c r="AZ44" i="39"/>
  <c r="AY44" i="39"/>
  <c r="AX44" i="39"/>
  <c r="AW44" i="39"/>
  <c r="BB43" i="39"/>
  <c r="BF42" i="39"/>
  <c r="BE42" i="39"/>
  <c r="BD42" i="39"/>
  <c r="BC42" i="39"/>
  <c r="BB42" i="39"/>
  <c r="BA42" i="39"/>
  <c r="AZ42" i="39"/>
  <c r="AY42" i="39"/>
  <c r="AX42" i="39"/>
  <c r="AW42" i="39"/>
  <c r="BB41" i="39"/>
  <c r="BB39" i="39"/>
  <c r="BF38" i="39"/>
  <c r="BE38" i="39"/>
  <c r="BD38" i="39"/>
  <c r="BC38" i="39"/>
  <c r="BB38" i="39"/>
  <c r="BA38" i="39"/>
  <c r="AZ38" i="39"/>
  <c r="AY38" i="39"/>
  <c r="AX38" i="39"/>
  <c r="AW38" i="39"/>
  <c r="BB37" i="39"/>
  <c r="BF36" i="39"/>
  <c r="BE36" i="39"/>
  <c r="BD36" i="39"/>
  <c r="BC36" i="39"/>
  <c r="BB36" i="39"/>
  <c r="BA36" i="39"/>
  <c r="AZ36" i="39"/>
  <c r="AY36" i="39"/>
  <c r="AX36" i="39"/>
  <c r="AW36" i="39"/>
  <c r="BB35" i="39"/>
  <c r="BF34" i="39"/>
  <c r="BE34" i="39"/>
  <c r="BD34" i="39"/>
  <c r="BC34" i="39"/>
  <c r="BB34" i="39"/>
  <c r="BA34" i="39"/>
  <c r="AZ34" i="39"/>
  <c r="AY34" i="39"/>
  <c r="AX34" i="39"/>
  <c r="AW34" i="39"/>
  <c r="BB33" i="39"/>
  <c r="BF32" i="39"/>
  <c r="BE32" i="39"/>
  <c r="BD32" i="39"/>
  <c r="BC32" i="39"/>
  <c r="BB32" i="39"/>
  <c r="BA32" i="39"/>
  <c r="AZ32" i="39"/>
  <c r="AY32" i="39"/>
  <c r="AX32" i="39"/>
  <c r="AW32" i="39"/>
  <c r="BB31" i="39"/>
  <c r="BF30" i="39"/>
  <c r="BE30" i="39"/>
  <c r="BD30" i="39"/>
  <c r="BC30" i="39"/>
  <c r="BB30" i="39"/>
  <c r="BA30" i="39"/>
  <c r="AZ30" i="39"/>
  <c r="AY30" i="39"/>
  <c r="AX30" i="39"/>
  <c r="AW30" i="39"/>
  <c r="BB29" i="39"/>
  <c r="BF28" i="39"/>
  <c r="BE28" i="39"/>
  <c r="BD28" i="39"/>
  <c r="BC28" i="39"/>
  <c r="BB28" i="39"/>
  <c r="BA28" i="39"/>
  <c r="AZ28" i="39"/>
  <c r="AY28" i="39"/>
  <c r="AX28" i="39"/>
  <c r="AW28" i="39"/>
  <c r="BB27" i="39"/>
  <c r="BF26" i="39"/>
  <c r="BE26" i="39"/>
  <c r="BD26" i="39"/>
  <c r="BC26" i="39"/>
  <c r="BB26" i="39"/>
  <c r="BA26" i="39"/>
  <c r="AZ26" i="39"/>
  <c r="AY26" i="39"/>
  <c r="AX26" i="39"/>
  <c r="AW26" i="39"/>
  <c r="BB25" i="39"/>
  <c r="BF24" i="39"/>
  <c r="BE24" i="39"/>
  <c r="BD24" i="39"/>
  <c r="BC24" i="39"/>
  <c r="BB24" i="39"/>
  <c r="BA24" i="39"/>
  <c r="AZ24" i="39"/>
  <c r="AY24" i="39"/>
  <c r="AX24" i="39"/>
  <c r="AW24" i="39"/>
  <c r="BB23" i="39"/>
  <c r="BF22" i="39"/>
  <c r="BE22" i="39"/>
  <c r="BD22" i="39"/>
  <c r="BC22" i="39"/>
  <c r="BB22" i="39"/>
  <c r="BA22" i="39"/>
  <c r="AZ22" i="39"/>
  <c r="AY22" i="39"/>
  <c r="AX22" i="39"/>
  <c r="AW22" i="39"/>
  <c r="BB21" i="39"/>
  <c r="BF20" i="39"/>
  <c r="BE20" i="39"/>
  <c r="BD20" i="39"/>
  <c r="BC20" i="39"/>
  <c r="BB20" i="39"/>
  <c r="BA20" i="39"/>
  <c r="AZ20" i="39"/>
  <c r="AY20" i="39"/>
  <c r="AX20" i="39"/>
  <c r="AW20" i="39"/>
  <c r="BB19" i="39"/>
  <c r="BF18" i="39"/>
  <c r="BE18" i="39"/>
  <c r="BD18" i="39"/>
  <c r="BC18" i="39"/>
  <c r="BB18" i="39"/>
  <c r="BA18" i="39"/>
  <c r="AZ18" i="39"/>
  <c r="AY18" i="39"/>
  <c r="AX18" i="39"/>
  <c r="AW18" i="39"/>
  <c r="BB17" i="39"/>
  <c r="BF16" i="39"/>
  <c r="BE16" i="39"/>
  <c r="BD16" i="39"/>
  <c r="BC16" i="39"/>
  <c r="BB16" i="39"/>
  <c r="BA16" i="39"/>
  <c r="AZ16" i="39"/>
  <c r="AY16" i="39"/>
  <c r="AX16" i="39"/>
  <c r="AW16" i="39"/>
  <c r="BB15" i="39"/>
  <c r="BF14" i="39"/>
  <c r="BE14" i="39"/>
  <c r="BD14" i="39"/>
  <c r="BC14" i="39"/>
  <c r="BB14" i="39"/>
  <c r="BA14" i="39"/>
  <c r="AZ14" i="39"/>
  <c r="AY14" i="39"/>
  <c r="AX14" i="39"/>
  <c r="AW14" i="39"/>
  <c r="BB13" i="39"/>
  <c r="BF12" i="39"/>
  <c r="BE12" i="39"/>
  <c r="BD12" i="39"/>
  <c r="BC12" i="39"/>
  <c r="BB12" i="39"/>
  <c r="BA12" i="39"/>
  <c r="AZ12" i="39"/>
  <c r="AY12" i="39"/>
  <c r="AX12" i="39"/>
  <c r="AW12" i="39"/>
  <c r="BB11" i="39"/>
  <c r="BF10" i="39"/>
  <c r="BE10" i="39"/>
  <c r="BD10" i="39"/>
  <c r="BC10" i="39"/>
  <c r="BC66" i="39" s="1"/>
  <c r="AJ2" i="39" s="1"/>
  <c r="BB10" i="39"/>
  <c r="BA10" i="39"/>
  <c r="AZ10" i="39"/>
  <c r="AY10" i="39"/>
  <c r="AY66" i="39" s="1"/>
  <c r="T4" i="39" s="1"/>
  <c r="AX10" i="39"/>
  <c r="AW10" i="39"/>
  <c r="BB65" i="38"/>
  <c r="BF64" i="38"/>
  <c r="BE64" i="38"/>
  <c r="BD64" i="38"/>
  <c r="BC64" i="38"/>
  <c r="BB64" i="38"/>
  <c r="BA64" i="38"/>
  <c r="AZ64" i="38"/>
  <c r="AY64" i="38"/>
  <c r="AX64" i="38"/>
  <c r="AW64" i="38"/>
  <c r="BB63" i="38"/>
  <c r="BF62" i="38"/>
  <c r="BE62" i="38"/>
  <c r="BD62" i="38"/>
  <c r="BC62" i="38"/>
  <c r="BB62" i="38"/>
  <c r="BA62" i="38"/>
  <c r="AZ62" i="38"/>
  <c r="AY62" i="38"/>
  <c r="AX62" i="38"/>
  <c r="AW62" i="38"/>
  <c r="BB61" i="38"/>
  <c r="BF60" i="38"/>
  <c r="BE60" i="38"/>
  <c r="BD60" i="38"/>
  <c r="BC60" i="38"/>
  <c r="BB60" i="38"/>
  <c r="BA60" i="38"/>
  <c r="AZ60" i="38"/>
  <c r="AY60" i="38"/>
  <c r="AX60" i="38"/>
  <c r="AW60" i="38"/>
  <c r="BB59" i="38"/>
  <c r="BF58" i="38"/>
  <c r="BE58" i="38"/>
  <c r="BD58" i="38"/>
  <c r="BC58" i="38"/>
  <c r="BB58" i="38"/>
  <c r="BA58" i="38"/>
  <c r="AZ58" i="38"/>
  <c r="AY58" i="38"/>
  <c r="AX58" i="38"/>
  <c r="AW58" i="38"/>
  <c r="BB57" i="38"/>
  <c r="BF56" i="38"/>
  <c r="BE56" i="38"/>
  <c r="BD56" i="38"/>
  <c r="BC56" i="38"/>
  <c r="BB56" i="38"/>
  <c r="BA56" i="38"/>
  <c r="AZ56" i="38"/>
  <c r="AY56" i="38"/>
  <c r="AX56" i="38"/>
  <c r="AW56" i="38"/>
  <c r="BB55" i="38"/>
  <c r="BF54" i="38"/>
  <c r="BE54" i="38"/>
  <c r="BD54" i="38"/>
  <c r="BC54" i="38"/>
  <c r="BB54" i="38"/>
  <c r="BA54" i="38"/>
  <c r="AZ54" i="38"/>
  <c r="AY54" i="38"/>
  <c r="AX54" i="38"/>
  <c r="AW54" i="38"/>
  <c r="BB53" i="38"/>
  <c r="BB49" i="38"/>
  <c r="BF48" i="38"/>
  <c r="BE48" i="38"/>
  <c r="BD48" i="38"/>
  <c r="BC48" i="38"/>
  <c r="BB48" i="38"/>
  <c r="BA48" i="38"/>
  <c r="AZ48" i="38"/>
  <c r="AY48" i="38"/>
  <c r="AX48" i="38"/>
  <c r="AW48" i="38"/>
  <c r="BB47" i="38"/>
  <c r="BF46" i="38"/>
  <c r="BE46" i="38"/>
  <c r="BD46" i="38"/>
  <c r="BC46" i="38"/>
  <c r="BB46" i="38"/>
  <c r="BA46" i="38"/>
  <c r="AZ46" i="38"/>
  <c r="AY46" i="38"/>
  <c r="AX46" i="38"/>
  <c r="AW46" i="38"/>
  <c r="BB45" i="38"/>
  <c r="BF44" i="38"/>
  <c r="BE44" i="38"/>
  <c r="BD44" i="38"/>
  <c r="BC44" i="38"/>
  <c r="BB44" i="38"/>
  <c r="BA44" i="38"/>
  <c r="AZ44" i="38"/>
  <c r="AY44" i="38"/>
  <c r="AX44" i="38"/>
  <c r="AW44" i="38"/>
  <c r="BB43" i="38"/>
  <c r="BF42" i="38"/>
  <c r="BE42" i="38"/>
  <c r="BD42" i="38"/>
  <c r="BC42" i="38"/>
  <c r="BB42" i="38"/>
  <c r="BA42" i="38"/>
  <c r="AZ42" i="38"/>
  <c r="AY42" i="38"/>
  <c r="AX42" i="38"/>
  <c r="AW42" i="38"/>
  <c r="BB41" i="38"/>
  <c r="BB39" i="38"/>
  <c r="BF38" i="38"/>
  <c r="BE38" i="38"/>
  <c r="BD38" i="38"/>
  <c r="BC38" i="38"/>
  <c r="BB38" i="38"/>
  <c r="BA38" i="38"/>
  <c r="AZ38" i="38"/>
  <c r="AY38" i="38"/>
  <c r="AX38" i="38"/>
  <c r="AW38" i="38"/>
  <c r="BB37" i="38"/>
  <c r="BF36" i="38"/>
  <c r="BE36" i="38"/>
  <c r="BD36" i="38"/>
  <c r="BC36" i="38"/>
  <c r="BB36" i="38"/>
  <c r="BA36" i="38"/>
  <c r="AZ36" i="38"/>
  <c r="AY36" i="38"/>
  <c r="AX36" i="38"/>
  <c r="AW36" i="38"/>
  <c r="BB35" i="38"/>
  <c r="BF34" i="38"/>
  <c r="BE34" i="38"/>
  <c r="BD34" i="38"/>
  <c r="BC34" i="38"/>
  <c r="BB34" i="38"/>
  <c r="BA34" i="38"/>
  <c r="AZ34" i="38"/>
  <c r="AY34" i="38"/>
  <c r="AX34" i="38"/>
  <c r="AW34" i="38"/>
  <c r="BB33" i="38"/>
  <c r="BF32" i="38"/>
  <c r="BE32" i="38"/>
  <c r="BD32" i="38"/>
  <c r="BC32" i="38"/>
  <c r="BB32" i="38"/>
  <c r="BA32" i="38"/>
  <c r="AZ32" i="38"/>
  <c r="AY32" i="38"/>
  <c r="AX32" i="38"/>
  <c r="AW32" i="38"/>
  <c r="BB31" i="38"/>
  <c r="BF30" i="38"/>
  <c r="BE30" i="38"/>
  <c r="BD30" i="38"/>
  <c r="BC30" i="38"/>
  <c r="BB30" i="38"/>
  <c r="BA30" i="38"/>
  <c r="AZ30" i="38"/>
  <c r="AY30" i="38"/>
  <c r="AX30" i="38"/>
  <c r="AW30" i="38"/>
  <c r="BB29" i="38"/>
  <c r="BF28" i="38"/>
  <c r="BE28" i="38"/>
  <c r="BD28" i="38"/>
  <c r="BC28" i="38"/>
  <c r="BB28" i="38"/>
  <c r="BA28" i="38"/>
  <c r="AZ28" i="38"/>
  <c r="AY28" i="38"/>
  <c r="AX28" i="38"/>
  <c r="AW28" i="38"/>
  <c r="BB27" i="38"/>
  <c r="BF26" i="38"/>
  <c r="BE26" i="38"/>
  <c r="BD26" i="38"/>
  <c r="BC26" i="38"/>
  <c r="BB26" i="38"/>
  <c r="BA26" i="38"/>
  <c r="AZ26" i="38"/>
  <c r="AY26" i="38"/>
  <c r="AX26" i="38"/>
  <c r="AW26" i="38"/>
  <c r="BB25" i="38"/>
  <c r="BF24" i="38"/>
  <c r="BE24" i="38"/>
  <c r="BD24" i="38"/>
  <c r="BC24" i="38"/>
  <c r="BB24" i="38"/>
  <c r="BA24" i="38"/>
  <c r="AZ24" i="38"/>
  <c r="AY24" i="38"/>
  <c r="AX24" i="38"/>
  <c r="AW24" i="38"/>
  <c r="BB23" i="38"/>
  <c r="BF22" i="38"/>
  <c r="BE22" i="38"/>
  <c r="BD22" i="38"/>
  <c r="BC22" i="38"/>
  <c r="BB22" i="38"/>
  <c r="BA22" i="38"/>
  <c r="AZ22" i="38"/>
  <c r="AY22" i="38"/>
  <c r="AX22" i="38"/>
  <c r="AW22" i="38"/>
  <c r="BB21" i="38"/>
  <c r="BF20" i="38"/>
  <c r="BE20" i="38"/>
  <c r="BD20" i="38"/>
  <c r="BC20" i="38"/>
  <c r="BB20" i="38"/>
  <c r="BA20" i="38"/>
  <c r="AZ20" i="38"/>
  <c r="AY20" i="38"/>
  <c r="AX20" i="38"/>
  <c r="AW20" i="38"/>
  <c r="BB19" i="38"/>
  <c r="BF18" i="38"/>
  <c r="BE18" i="38"/>
  <c r="BD18" i="38"/>
  <c r="BC18" i="38"/>
  <c r="BB18" i="38"/>
  <c r="BA18" i="38"/>
  <c r="AZ18" i="38"/>
  <c r="AY18" i="38"/>
  <c r="AX18" i="38"/>
  <c r="AW18" i="38"/>
  <c r="BB17" i="38"/>
  <c r="BF16" i="38"/>
  <c r="BE16" i="38"/>
  <c r="BD16" i="38"/>
  <c r="BC16" i="38"/>
  <c r="BB16" i="38"/>
  <c r="BA16" i="38"/>
  <c r="AZ16" i="38"/>
  <c r="AY16" i="38"/>
  <c r="AX16" i="38"/>
  <c r="AW16" i="38"/>
  <c r="BB15" i="38"/>
  <c r="BF14" i="38"/>
  <c r="BE14" i="38"/>
  <c r="BD14" i="38"/>
  <c r="BC14" i="38"/>
  <c r="BB14" i="38"/>
  <c r="BA14" i="38"/>
  <c r="AZ14" i="38"/>
  <c r="AY14" i="38"/>
  <c r="AX14" i="38"/>
  <c r="AW14" i="38"/>
  <c r="BB13" i="38"/>
  <c r="BF12" i="38"/>
  <c r="BE12" i="38"/>
  <c r="BD12" i="38"/>
  <c r="BC12" i="38"/>
  <c r="BB12" i="38"/>
  <c r="BA12" i="38"/>
  <c r="AZ12" i="38"/>
  <c r="AY12" i="38"/>
  <c r="AX12" i="38"/>
  <c r="AW12" i="38"/>
  <c r="BB11" i="38"/>
  <c r="BF10" i="38"/>
  <c r="BE10" i="38"/>
  <c r="BD10" i="38"/>
  <c r="BD66" i="38" s="1"/>
  <c r="D52" i="38" s="1"/>
  <c r="BC10" i="38"/>
  <c r="BB10" i="38"/>
  <c r="BA10" i="38"/>
  <c r="AZ10" i="38"/>
  <c r="AZ66" i="38" s="1"/>
  <c r="AJ4" i="38" s="1"/>
  <c r="AY10" i="38"/>
  <c r="AX10" i="38"/>
  <c r="AW10" i="38"/>
  <c r="BB65" i="37"/>
  <c r="BF64" i="37"/>
  <c r="BE64" i="37"/>
  <c r="BD64" i="37"/>
  <c r="BC64" i="37"/>
  <c r="BB64" i="37"/>
  <c r="BA64" i="37"/>
  <c r="AZ64" i="37"/>
  <c r="AY64" i="37"/>
  <c r="AX64" i="37"/>
  <c r="AW64" i="37"/>
  <c r="BB63" i="37"/>
  <c r="BF62" i="37"/>
  <c r="BE62" i="37"/>
  <c r="BD62" i="37"/>
  <c r="BC62" i="37"/>
  <c r="BB62" i="37"/>
  <c r="BA62" i="37"/>
  <c r="AZ62" i="37"/>
  <c r="AY62" i="37"/>
  <c r="AX62" i="37"/>
  <c r="AW62" i="37"/>
  <c r="BB61" i="37"/>
  <c r="BF60" i="37"/>
  <c r="BE60" i="37"/>
  <c r="BD60" i="37"/>
  <c r="BC60" i="37"/>
  <c r="BB60" i="37"/>
  <c r="BA60" i="37"/>
  <c r="AZ60" i="37"/>
  <c r="AY60" i="37"/>
  <c r="AX60" i="37"/>
  <c r="AW60" i="37"/>
  <c r="BB59" i="37"/>
  <c r="BF58" i="37"/>
  <c r="BE58" i="37"/>
  <c r="BD58" i="37"/>
  <c r="BC58" i="37"/>
  <c r="BB58" i="37"/>
  <c r="BA58" i="37"/>
  <c r="AZ58" i="37"/>
  <c r="AY58" i="37"/>
  <c r="AX58" i="37"/>
  <c r="AW58" i="37"/>
  <c r="BB57" i="37"/>
  <c r="BF56" i="37"/>
  <c r="BE56" i="37"/>
  <c r="BD56" i="37"/>
  <c r="BC56" i="37"/>
  <c r="BB56" i="37"/>
  <c r="BA56" i="37"/>
  <c r="AZ56" i="37"/>
  <c r="AY56" i="37"/>
  <c r="AX56" i="37"/>
  <c r="AW56" i="37"/>
  <c r="BB55" i="37"/>
  <c r="BF54" i="37"/>
  <c r="BE54" i="37"/>
  <c r="BD54" i="37"/>
  <c r="BC54" i="37"/>
  <c r="BB54" i="37"/>
  <c r="BA54" i="37"/>
  <c r="AZ54" i="37"/>
  <c r="AY54" i="37"/>
  <c r="AX54" i="37"/>
  <c r="AW54" i="37"/>
  <c r="BB53" i="37"/>
  <c r="BB49" i="37"/>
  <c r="BF48" i="37"/>
  <c r="BE48" i="37"/>
  <c r="BD48" i="37"/>
  <c r="BC48" i="37"/>
  <c r="BB48" i="37"/>
  <c r="BA48" i="37"/>
  <c r="AZ48" i="37"/>
  <c r="AY48" i="37"/>
  <c r="AX48" i="37"/>
  <c r="AW48" i="37"/>
  <c r="BB47" i="37"/>
  <c r="BF46" i="37"/>
  <c r="BE46" i="37"/>
  <c r="BD46" i="37"/>
  <c r="BC46" i="37"/>
  <c r="BB46" i="37"/>
  <c r="BA46" i="37"/>
  <c r="AZ46" i="37"/>
  <c r="AY46" i="37"/>
  <c r="AX46" i="37"/>
  <c r="AW46" i="37"/>
  <c r="BB45" i="37"/>
  <c r="BF44" i="37"/>
  <c r="BE44" i="37"/>
  <c r="BD44" i="37"/>
  <c r="BC44" i="37"/>
  <c r="BB44" i="37"/>
  <c r="BA44" i="37"/>
  <c r="AZ44" i="37"/>
  <c r="AY44" i="37"/>
  <c r="AX44" i="37"/>
  <c r="AW44" i="37"/>
  <c r="BB43" i="37"/>
  <c r="BF42" i="37"/>
  <c r="BE42" i="37"/>
  <c r="BD42" i="37"/>
  <c r="BC42" i="37"/>
  <c r="BB42" i="37"/>
  <c r="BA42" i="37"/>
  <c r="AZ42" i="37"/>
  <c r="AY42" i="37"/>
  <c r="AX42" i="37"/>
  <c r="AW42" i="37"/>
  <c r="BB41" i="37"/>
  <c r="BB39" i="37"/>
  <c r="BF38" i="37"/>
  <c r="BE38" i="37"/>
  <c r="BD38" i="37"/>
  <c r="BC38" i="37"/>
  <c r="BB38" i="37"/>
  <c r="BA38" i="37"/>
  <c r="AZ38" i="37"/>
  <c r="AY38" i="37"/>
  <c r="AX38" i="37"/>
  <c r="AW38" i="37"/>
  <c r="BB37" i="37"/>
  <c r="BF36" i="37"/>
  <c r="BE36" i="37"/>
  <c r="BD36" i="37"/>
  <c r="BC36" i="37"/>
  <c r="BB36" i="37"/>
  <c r="BA36" i="37"/>
  <c r="AZ36" i="37"/>
  <c r="AY36" i="37"/>
  <c r="AX36" i="37"/>
  <c r="AW36" i="37"/>
  <c r="BB35" i="37"/>
  <c r="BF34" i="37"/>
  <c r="BE34" i="37"/>
  <c r="BD34" i="37"/>
  <c r="BC34" i="37"/>
  <c r="BB34" i="37"/>
  <c r="BA34" i="37"/>
  <c r="AZ34" i="37"/>
  <c r="AY34" i="37"/>
  <c r="AX34" i="37"/>
  <c r="AW34" i="37"/>
  <c r="BB33" i="37"/>
  <c r="BF32" i="37"/>
  <c r="BE32" i="37"/>
  <c r="BD32" i="37"/>
  <c r="BC32" i="37"/>
  <c r="BB32" i="37"/>
  <c r="BA32" i="37"/>
  <c r="AZ32" i="37"/>
  <c r="AY32" i="37"/>
  <c r="AX32" i="37"/>
  <c r="AW32" i="37"/>
  <c r="BB31" i="37"/>
  <c r="BF30" i="37"/>
  <c r="BE30" i="37"/>
  <c r="BD30" i="37"/>
  <c r="BC30" i="37"/>
  <c r="BB30" i="37"/>
  <c r="BA30" i="37"/>
  <c r="AZ30" i="37"/>
  <c r="AY30" i="37"/>
  <c r="AX30" i="37"/>
  <c r="AW30" i="37"/>
  <c r="BB29" i="37"/>
  <c r="BF28" i="37"/>
  <c r="BE28" i="37"/>
  <c r="BD28" i="37"/>
  <c r="BC28" i="37"/>
  <c r="BB28" i="37"/>
  <c r="BA28" i="37"/>
  <c r="AZ28" i="37"/>
  <c r="AY28" i="37"/>
  <c r="AX28" i="37"/>
  <c r="AW28" i="37"/>
  <c r="BB27" i="37"/>
  <c r="BF26" i="37"/>
  <c r="BE26" i="37"/>
  <c r="BD26" i="37"/>
  <c r="BC26" i="37"/>
  <c r="BB26" i="37"/>
  <c r="BA26" i="37"/>
  <c r="AZ26" i="37"/>
  <c r="AY26" i="37"/>
  <c r="AX26" i="37"/>
  <c r="AW26" i="37"/>
  <c r="BB25" i="37"/>
  <c r="BF24" i="37"/>
  <c r="BE24" i="37"/>
  <c r="BD24" i="37"/>
  <c r="BC24" i="37"/>
  <c r="BB24" i="37"/>
  <c r="BA24" i="37"/>
  <c r="AZ24" i="37"/>
  <c r="AY24" i="37"/>
  <c r="AX24" i="37"/>
  <c r="AW24" i="37"/>
  <c r="BB23" i="37"/>
  <c r="BF22" i="37"/>
  <c r="BE22" i="37"/>
  <c r="BD22" i="37"/>
  <c r="BC22" i="37"/>
  <c r="BB22" i="37"/>
  <c r="BA22" i="37"/>
  <c r="AZ22" i="37"/>
  <c r="AY22" i="37"/>
  <c r="AX22" i="37"/>
  <c r="AW22" i="37"/>
  <c r="BB21" i="37"/>
  <c r="BF20" i="37"/>
  <c r="BE20" i="37"/>
  <c r="BD20" i="37"/>
  <c r="BC20" i="37"/>
  <c r="BB20" i="37"/>
  <c r="BA20" i="37"/>
  <c r="AZ20" i="37"/>
  <c r="AY20" i="37"/>
  <c r="AX20" i="37"/>
  <c r="AW20" i="37"/>
  <c r="BB19" i="37"/>
  <c r="BF18" i="37"/>
  <c r="BE18" i="37"/>
  <c r="BD18" i="37"/>
  <c r="BC18" i="37"/>
  <c r="BB18" i="37"/>
  <c r="BA18" i="37"/>
  <c r="AZ18" i="37"/>
  <c r="AY18" i="37"/>
  <c r="AX18" i="37"/>
  <c r="AW18" i="37"/>
  <c r="BB17" i="37"/>
  <c r="BF16" i="37"/>
  <c r="BE16" i="37"/>
  <c r="BD16" i="37"/>
  <c r="BC16" i="37"/>
  <c r="BB16" i="37"/>
  <c r="BA16" i="37"/>
  <c r="AZ16" i="37"/>
  <c r="AY16" i="37"/>
  <c r="AX16" i="37"/>
  <c r="AW16" i="37"/>
  <c r="BB15" i="37"/>
  <c r="BF14" i="37"/>
  <c r="BE14" i="37"/>
  <c r="BD14" i="37"/>
  <c r="BC14" i="37"/>
  <c r="BB14" i="37"/>
  <c r="BA14" i="37"/>
  <c r="AZ14" i="37"/>
  <c r="AY14" i="37"/>
  <c r="AX14" i="37"/>
  <c r="AW14" i="37"/>
  <c r="BB13" i="37"/>
  <c r="BF12" i="37"/>
  <c r="BE12" i="37"/>
  <c r="BD12" i="37"/>
  <c r="BC12" i="37"/>
  <c r="BB12" i="37"/>
  <c r="BA12" i="37"/>
  <c r="AZ12" i="37"/>
  <c r="AY12" i="37"/>
  <c r="AX12" i="37"/>
  <c r="AW12" i="37"/>
  <c r="BB11" i="37"/>
  <c r="BF10" i="37"/>
  <c r="BE10" i="37"/>
  <c r="BE66" i="37" s="1"/>
  <c r="T52" i="37" s="1"/>
  <c r="BD10" i="37"/>
  <c r="BC10" i="37"/>
  <c r="BB10" i="37"/>
  <c r="BA10" i="37"/>
  <c r="BA66" i="37" s="1"/>
  <c r="AZ10" i="37"/>
  <c r="AY10" i="37"/>
  <c r="AX10" i="37"/>
  <c r="AW10" i="37"/>
  <c r="AW66" i="37" s="1"/>
  <c r="D4" i="37" s="1"/>
  <c r="J58" i="5"/>
  <c r="L58" i="5"/>
  <c r="N58" i="5"/>
  <c r="P58" i="5"/>
  <c r="R58" i="5"/>
  <c r="T58" i="5"/>
  <c r="V58" i="5"/>
  <c r="F28" i="82"/>
  <c r="H28" i="82"/>
  <c r="G28" i="82"/>
  <c r="B28" i="82"/>
  <c r="C28" i="82"/>
  <c r="D28" i="82"/>
  <c r="E28" i="82"/>
  <c r="C61" i="72"/>
  <c r="C60" i="72"/>
  <c r="C52" i="72"/>
  <c r="C90" i="72"/>
  <c r="C66" i="72"/>
  <c r="C64" i="72"/>
  <c r="C63" i="72"/>
  <c r="C75" i="72"/>
  <c r="C31" i="72"/>
  <c r="C30" i="72"/>
  <c r="C56" i="72"/>
  <c r="C55" i="72"/>
  <c r="C53" i="72"/>
  <c r="C41" i="72"/>
  <c r="C70" i="72"/>
  <c r="C34" i="72"/>
  <c r="C22" i="72"/>
  <c r="C21" i="72"/>
  <c r="C72" i="72"/>
  <c r="C17" i="72"/>
  <c r="B47" i="78"/>
  <c r="B38" i="78"/>
  <c r="B56" i="78"/>
  <c r="B40" i="78"/>
  <c r="B34" i="78"/>
  <c r="B24" i="78"/>
  <c r="B19" i="78"/>
  <c r="B12" i="78"/>
  <c r="B11" i="78"/>
  <c r="N2" i="72"/>
  <c r="N3" i="72" s="1"/>
  <c r="N4" i="72" s="1"/>
  <c r="N5" i="72" s="1"/>
  <c r="N6" i="72" s="1"/>
  <c r="N7" i="72" s="1"/>
  <c r="N8" i="72" s="1"/>
  <c r="N9" i="72" s="1"/>
  <c r="M2" i="72"/>
  <c r="M3" i="72" s="1"/>
  <c r="M4" i="72" s="1"/>
  <c r="M5" i="72" s="1"/>
  <c r="M6" i="72" s="1"/>
  <c r="M7" i="72" s="1"/>
  <c r="M8" i="72" s="1"/>
  <c r="M9" i="72" s="1"/>
  <c r="B51" i="78"/>
  <c r="C25" i="72"/>
  <c r="C15" i="72"/>
  <c r="C13" i="72"/>
  <c r="C91" i="72"/>
  <c r="C49" i="72"/>
  <c r="L2" i="72"/>
  <c r="K2" i="72"/>
  <c r="C58" i="72"/>
  <c r="E51" i="72"/>
  <c r="D51" i="72"/>
  <c r="C2" i="72"/>
  <c r="C1" i="72"/>
  <c r="E1" i="72" s="1"/>
  <c r="E2" i="72" l="1"/>
  <c r="R42" i="5" s="1"/>
  <c r="AZ66" i="37"/>
  <c r="AJ4" i="37" s="1"/>
  <c r="BD66" i="37"/>
  <c r="D52" i="37" s="1"/>
  <c r="AY66" i="38"/>
  <c r="T4" i="38" s="1"/>
  <c r="BC66" i="38"/>
  <c r="AJ2" i="38" s="1"/>
  <c r="AX66" i="39"/>
  <c r="D6" i="39" s="1"/>
  <c r="BB66" i="39"/>
  <c r="BF66" i="39"/>
  <c r="AJ52" i="39" s="1"/>
  <c r="AW66" i="40"/>
  <c r="D4" i="40" s="1"/>
  <c r="BA66" i="40"/>
  <c r="BE66" i="40"/>
  <c r="T52" i="40" s="1"/>
  <c r="AZ66" i="41"/>
  <c r="AJ4" i="41" s="1"/>
  <c r="BD66" i="41"/>
  <c r="D52" i="41" s="1"/>
  <c r="AY66" i="42"/>
  <c r="T4" i="42" s="1"/>
  <c r="BC66" i="42"/>
  <c r="AJ2" i="42" s="1"/>
  <c r="AX66" i="43"/>
  <c r="D6" i="43" s="1"/>
  <c r="BB66" i="43"/>
  <c r="BF66" i="43"/>
  <c r="AJ52" i="43" s="1"/>
  <c r="AW66" i="44"/>
  <c r="D4" i="44" s="1"/>
  <c r="BA66" i="44"/>
  <c r="BE66" i="44"/>
  <c r="T52" i="44" s="1"/>
  <c r="AZ66" i="45"/>
  <c r="AJ4" i="45" s="1"/>
  <c r="BD66" i="45"/>
  <c r="D52" i="45" s="1"/>
  <c r="AY66" i="46"/>
  <c r="T4" i="46" s="1"/>
  <c r="BC66" i="46"/>
  <c r="AJ2" i="46" s="1"/>
  <c r="AX66" i="47"/>
  <c r="D6" i="47" s="1"/>
  <c r="BB66" i="47"/>
  <c r="BF66" i="47"/>
  <c r="AJ52" i="47" s="1"/>
  <c r="AW66" i="48"/>
  <c r="D4" i="48" s="1"/>
  <c r="BA66" i="48"/>
  <c r="BE66" i="48"/>
  <c r="T52" i="48" s="1"/>
  <c r="AZ66" i="49"/>
  <c r="AJ4" i="49" s="1"/>
  <c r="BD66" i="49"/>
  <c r="D52" i="49" s="1"/>
  <c r="AY66" i="50"/>
  <c r="T4" i="50" s="1"/>
  <c r="BC66" i="50"/>
  <c r="AJ2" i="50" s="1"/>
  <c r="AX66" i="51"/>
  <c r="D6" i="51" s="1"/>
  <c r="BB66" i="51"/>
  <c r="BF66" i="51"/>
  <c r="AJ52" i="51" s="1"/>
  <c r="AW66" i="52"/>
  <c r="D4" i="52" s="1"/>
  <c r="BA66" i="52"/>
  <c r="BE66" i="52"/>
  <c r="T52" i="52" s="1"/>
  <c r="AZ66" i="53"/>
  <c r="AJ4" i="53" s="1"/>
  <c r="BD66" i="53"/>
  <c r="D52" i="53" s="1"/>
  <c r="AY66" i="54"/>
  <c r="T4" i="54" s="1"/>
  <c r="BC66" i="54"/>
  <c r="AJ2" i="54" s="1"/>
  <c r="AX66" i="55"/>
  <c r="D6" i="55" s="1"/>
  <c r="BB66" i="55"/>
  <c r="BF66" i="55"/>
  <c r="AJ52" i="55" s="1"/>
  <c r="AW66" i="56"/>
  <c r="D4" i="56" s="1"/>
  <c r="BA66" i="56"/>
  <c r="BE66" i="56"/>
  <c r="T52" i="56" s="1"/>
  <c r="AZ66" i="57"/>
  <c r="AJ4" i="57" s="1"/>
  <c r="BD66" i="57"/>
  <c r="D52" i="57" s="1"/>
  <c r="AY66" i="58"/>
  <c r="T4" i="58" s="1"/>
  <c r="BC66" i="58"/>
  <c r="AJ2" i="58" s="1"/>
  <c r="AX66" i="59"/>
  <c r="D6" i="59" s="1"/>
  <c r="BB66" i="59"/>
  <c r="BF66" i="59"/>
  <c r="AJ52" i="59" s="1"/>
  <c r="AX66" i="37"/>
  <c r="D6" i="37" s="1"/>
  <c r="BB66" i="37"/>
  <c r="AJ6" i="37" s="1"/>
  <c r="BF66" i="37"/>
  <c r="AJ52" i="37" s="1"/>
  <c r="AW66" i="38"/>
  <c r="D4" i="38" s="1"/>
  <c r="BA66" i="38"/>
  <c r="BE66" i="38"/>
  <c r="T52" i="38" s="1"/>
  <c r="AZ66" i="39"/>
  <c r="AJ4" i="39" s="1"/>
  <c r="BD66" i="39"/>
  <c r="D52" i="39" s="1"/>
  <c r="AY66" i="40"/>
  <c r="T4" i="40" s="1"/>
  <c r="BC66" i="40"/>
  <c r="AJ2" i="40" s="1"/>
  <c r="AX66" i="41"/>
  <c r="D6" i="41" s="1"/>
  <c r="BB66" i="41"/>
  <c r="BF66" i="41"/>
  <c r="AJ52" i="41" s="1"/>
  <c r="AW66" i="42"/>
  <c r="D4" i="42" s="1"/>
  <c r="BA66" i="42"/>
  <c r="BE66" i="42"/>
  <c r="T52" i="42" s="1"/>
  <c r="AZ66" i="43"/>
  <c r="AJ4" i="43" s="1"/>
  <c r="BD66" i="43"/>
  <c r="D52" i="43" s="1"/>
  <c r="AY66" i="44"/>
  <c r="T4" i="44" s="1"/>
  <c r="BC66" i="44"/>
  <c r="AJ2" i="44" s="1"/>
  <c r="AX66" i="45"/>
  <c r="D6" i="45" s="1"/>
  <c r="BB66" i="45"/>
  <c r="T6" i="45" s="1"/>
  <c r="BF66" i="45"/>
  <c r="AJ52" i="45" s="1"/>
  <c r="AW66" i="46"/>
  <c r="D4" i="46" s="1"/>
  <c r="BA66" i="46"/>
  <c r="BE66" i="46"/>
  <c r="T52" i="46" s="1"/>
  <c r="AZ66" i="47"/>
  <c r="AJ4" i="47" s="1"/>
  <c r="BD66" i="47"/>
  <c r="D52" i="47" s="1"/>
  <c r="AY66" i="48"/>
  <c r="T4" i="48" s="1"/>
  <c r="BC66" i="48"/>
  <c r="AJ2" i="48" s="1"/>
  <c r="AX66" i="49"/>
  <c r="D6" i="49" s="1"/>
  <c r="BB66" i="49"/>
  <c r="BF66" i="49"/>
  <c r="AJ52" i="49" s="1"/>
  <c r="AW66" i="50"/>
  <c r="D4" i="50" s="1"/>
  <c r="BA66" i="50"/>
  <c r="BE66" i="50"/>
  <c r="T52" i="50" s="1"/>
  <c r="AZ66" i="51"/>
  <c r="AJ4" i="51" s="1"/>
  <c r="BD66" i="51"/>
  <c r="D52" i="51" s="1"/>
  <c r="AY66" i="52"/>
  <c r="T4" i="52" s="1"/>
  <c r="BC66" i="52"/>
  <c r="AJ2" i="52" s="1"/>
  <c r="AX66" i="53"/>
  <c r="D6" i="53" s="1"/>
  <c r="BB66" i="53"/>
  <c r="T6" i="53" s="1"/>
  <c r="BF66" i="53"/>
  <c r="AJ52" i="53" s="1"/>
  <c r="AW66" i="54"/>
  <c r="D4" i="54" s="1"/>
  <c r="BA66" i="54"/>
  <c r="BE66" i="54"/>
  <c r="T52" i="54" s="1"/>
  <c r="AZ66" i="55"/>
  <c r="AJ4" i="55" s="1"/>
  <c r="BD66" i="55"/>
  <c r="D52" i="55" s="1"/>
  <c r="AY66" i="56"/>
  <c r="T4" i="56" s="1"/>
  <c r="BC66" i="56"/>
  <c r="AJ2" i="56" s="1"/>
  <c r="AX66" i="57"/>
  <c r="D6" i="57" s="1"/>
  <c r="BB66" i="57"/>
  <c r="BF66" i="57"/>
  <c r="AJ52" i="57" s="1"/>
  <c r="AW66" i="58"/>
  <c r="D4" i="58" s="1"/>
  <c r="BA66" i="58"/>
  <c r="BE66" i="58"/>
  <c r="T52" i="58" s="1"/>
  <c r="AZ66" i="59"/>
  <c r="AJ4" i="59" s="1"/>
  <c r="BD66" i="59"/>
  <c r="D52" i="59" s="1"/>
  <c r="AY66" i="37"/>
  <c r="T4" i="37" s="1"/>
  <c r="BC66" i="37"/>
  <c r="AJ2" i="37" s="1"/>
  <c r="AX66" i="38"/>
  <c r="D6" i="38" s="1"/>
  <c r="BB66" i="38"/>
  <c r="AJ6" i="38" s="1"/>
  <c r="BF66" i="38"/>
  <c r="AJ52" i="38" s="1"/>
  <c r="AW66" i="39"/>
  <c r="D4" i="39" s="1"/>
  <c r="BA66" i="39"/>
  <c r="BE66" i="39"/>
  <c r="T52" i="39" s="1"/>
  <c r="AZ66" i="40"/>
  <c r="AJ4" i="40" s="1"/>
  <c r="BD66" i="40"/>
  <c r="D52" i="40" s="1"/>
  <c r="AY66" i="41"/>
  <c r="T4" i="41" s="1"/>
  <c r="BC66" i="41"/>
  <c r="AJ2" i="41" s="1"/>
  <c r="AX66" i="42"/>
  <c r="D6" i="42" s="1"/>
  <c r="BB66" i="42"/>
  <c r="BF66" i="42"/>
  <c r="AJ52" i="42" s="1"/>
  <c r="AW66" i="43"/>
  <c r="D4" i="43" s="1"/>
  <c r="BA66" i="43"/>
  <c r="BE66" i="43"/>
  <c r="T52" i="43" s="1"/>
  <c r="AZ66" i="44"/>
  <c r="AJ4" i="44" s="1"/>
  <c r="BD66" i="44"/>
  <c r="D52" i="44" s="1"/>
  <c r="AY66" i="45"/>
  <c r="T4" i="45" s="1"/>
  <c r="BC66" i="45"/>
  <c r="AJ2" i="45" s="1"/>
  <c r="AX66" i="46"/>
  <c r="D6" i="46" s="1"/>
  <c r="BB66" i="46"/>
  <c r="AJ6" i="46" s="1"/>
  <c r="BF66" i="46"/>
  <c r="AJ52" i="46" s="1"/>
  <c r="AW66" i="47"/>
  <c r="D4" i="47" s="1"/>
  <c r="BA66" i="47"/>
  <c r="BE66" i="47"/>
  <c r="T52" i="47" s="1"/>
  <c r="AZ66" i="48"/>
  <c r="AJ4" i="48" s="1"/>
  <c r="BD66" i="48"/>
  <c r="D52" i="48" s="1"/>
  <c r="AY66" i="49"/>
  <c r="T4" i="49" s="1"/>
  <c r="BC66" i="49"/>
  <c r="AJ2" i="49" s="1"/>
  <c r="AX66" i="50"/>
  <c r="D6" i="50" s="1"/>
  <c r="BB66" i="50"/>
  <c r="BF66" i="50"/>
  <c r="AJ52" i="50" s="1"/>
  <c r="AW66" i="51"/>
  <c r="D4" i="51" s="1"/>
  <c r="BA66" i="51"/>
  <c r="BE66" i="51"/>
  <c r="T52" i="51" s="1"/>
  <c r="AZ66" i="52"/>
  <c r="AJ4" i="52" s="1"/>
  <c r="BD66" i="52"/>
  <c r="D52" i="52" s="1"/>
  <c r="AY66" i="53"/>
  <c r="T4" i="53" s="1"/>
  <c r="BC66" i="53"/>
  <c r="AJ2" i="53" s="1"/>
  <c r="AX66" i="54"/>
  <c r="D6" i="54" s="1"/>
  <c r="BB66" i="54"/>
  <c r="AJ6" i="54" s="1"/>
  <c r="BF66" i="54"/>
  <c r="AJ52" i="54" s="1"/>
  <c r="AW66" i="55"/>
  <c r="D4" i="55" s="1"/>
  <c r="BA66" i="55"/>
  <c r="BE66" i="55"/>
  <c r="T52" i="55" s="1"/>
  <c r="AZ66" i="56"/>
  <c r="AJ4" i="56" s="1"/>
  <c r="BD66" i="56"/>
  <c r="D52" i="56" s="1"/>
  <c r="AY66" i="57"/>
  <c r="T4" i="57" s="1"/>
  <c r="BC66" i="57"/>
  <c r="AJ2" i="57" s="1"/>
  <c r="AX66" i="58"/>
  <c r="D6" i="58" s="1"/>
  <c r="BB66" i="58"/>
  <c r="BF66" i="58"/>
  <c r="AJ52" i="58" s="1"/>
  <c r="AW66" i="59"/>
  <c r="D4" i="59" s="1"/>
  <c r="BA66" i="59"/>
  <c r="BE66" i="59"/>
  <c r="T52" i="59" s="1"/>
  <c r="AJ6" i="42"/>
  <c r="T6" i="42"/>
  <c r="AJ6" i="44"/>
  <c r="T6" i="44"/>
  <c r="T6" i="46"/>
  <c r="AJ6" i="48"/>
  <c r="T6" i="48"/>
  <c r="AJ6" i="50"/>
  <c r="T6" i="50"/>
  <c r="AJ6" i="52"/>
  <c r="T6" i="52"/>
  <c r="T6" i="54"/>
  <c r="AJ6" i="56"/>
  <c r="T6" i="56"/>
  <c r="AJ6" i="58"/>
  <c r="T6" i="58"/>
  <c r="T6" i="43"/>
  <c r="AJ6" i="43"/>
  <c r="AJ6" i="45"/>
  <c r="T6" i="47"/>
  <c r="AJ6" i="47"/>
  <c r="T6" i="49"/>
  <c r="AJ6" i="49"/>
  <c r="T6" i="51"/>
  <c r="AJ6" i="51"/>
  <c r="AJ6" i="53"/>
  <c r="T6" i="55"/>
  <c r="AJ6" i="55"/>
  <c r="T6" i="57"/>
  <c r="AJ6" i="57"/>
  <c r="T6" i="59"/>
  <c r="AJ6" i="59"/>
  <c r="AJ6" i="40"/>
  <c r="T6" i="40"/>
  <c r="T6" i="41"/>
  <c r="AJ6" i="41"/>
  <c r="T6" i="38"/>
  <c r="T6" i="39"/>
  <c r="AJ6" i="39"/>
  <c r="B6" i="78"/>
  <c r="N10" i="72"/>
  <c r="C51" i="72"/>
  <c r="L3" i="72"/>
  <c r="L4" i="72" s="1"/>
  <c r="L5" i="72" s="1"/>
  <c r="L6" i="72" s="1"/>
  <c r="L7" i="72" s="1"/>
  <c r="L8" i="72" s="1"/>
  <c r="L9" i="72" s="1"/>
  <c r="K3" i="72"/>
  <c r="K4" i="72" s="1"/>
  <c r="K5" i="72" s="1"/>
  <c r="K6" i="72" s="1"/>
  <c r="K7" i="72" s="1"/>
  <c r="K8" i="72" s="1"/>
  <c r="K9" i="72" s="1"/>
  <c r="T6" i="37" l="1"/>
  <c r="L10" i="72"/>
  <c r="M10" i="72"/>
  <c r="B33" i="78" s="1"/>
  <c r="K10" i="72"/>
  <c r="C29" i="72" s="1"/>
  <c r="G259" i="71"/>
  <c r="G280" i="71"/>
  <c r="C35" i="72" l="1"/>
  <c r="H42" i="5" s="1"/>
  <c r="C43" i="72"/>
  <c r="C20" i="72"/>
  <c r="B30" i="78"/>
  <c r="B25" i="78" s="1"/>
  <c r="G306" i="71"/>
  <c r="G292" i="71"/>
  <c r="G221" i="71"/>
  <c r="G152" i="71"/>
  <c r="G147" i="71"/>
  <c r="G122" i="71"/>
  <c r="G109" i="71"/>
  <c r="G99" i="71"/>
  <c r="G73" i="71"/>
  <c r="G65" i="71"/>
  <c r="C17" i="71"/>
  <c r="C94" i="71"/>
  <c r="C93" i="71"/>
  <c r="C91" i="71"/>
  <c r="C89" i="71"/>
  <c r="C87" i="71"/>
  <c r="C83" i="71"/>
  <c r="C81" i="71"/>
  <c r="C78" i="71"/>
  <c r="C76" i="71"/>
  <c r="C75" i="71"/>
  <c r="C73" i="71"/>
  <c r="C70" i="71"/>
  <c r="C59" i="71"/>
  <c r="C55" i="71"/>
  <c r="C52" i="71"/>
  <c r="C51" i="71"/>
  <c r="F1" i="72" l="1"/>
  <c r="D44" i="5" s="1"/>
  <c r="F2" i="72"/>
  <c r="N44" i="5" s="1"/>
  <c r="G132" i="71"/>
  <c r="C6" i="71"/>
  <c r="D6" i="71" s="1"/>
  <c r="E449" i="71"/>
  <c r="E360" i="71"/>
  <c r="E361" i="71"/>
  <c r="E362" i="71"/>
  <c r="E363" i="71"/>
  <c r="E364" i="71"/>
  <c r="E365" i="71"/>
  <c r="E366" i="71"/>
  <c r="E367" i="71"/>
  <c r="E368" i="71"/>
  <c r="E369" i="71"/>
  <c r="E370" i="71"/>
  <c r="E371" i="71"/>
  <c r="E372" i="71"/>
  <c r="E373" i="71"/>
  <c r="E374" i="71"/>
  <c r="E375" i="71"/>
  <c r="E376" i="71"/>
  <c r="E377" i="71"/>
  <c r="E378" i="71"/>
  <c r="E379" i="71"/>
  <c r="E380" i="71"/>
  <c r="E381" i="71"/>
  <c r="E382" i="71"/>
  <c r="E383" i="71"/>
  <c r="E384" i="71"/>
  <c r="E385" i="71"/>
  <c r="E386" i="71"/>
  <c r="E387" i="71"/>
  <c r="E388" i="71"/>
  <c r="E389" i="71"/>
  <c r="E390" i="71"/>
  <c r="E391" i="71"/>
  <c r="E392" i="71"/>
  <c r="E393" i="71"/>
  <c r="E394" i="71"/>
  <c r="E395" i="71"/>
  <c r="E396" i="71"/>
  <c r="E397" i="71"/>
  <c r="E398" i="71"/>
  <c r="E399" i="71"/>
  <c r="E400" i="71"/>
  <c r="E401" i="71"/>
  <c r="E402" i="71"/>
  <c r="E403" i="71"/>
  <c r="E404" i="71"/>
  <c r="E405" i="71"/>
  <c r="E406" i="71"/>
  <c r="E407" i="71"/>
  <c r="E408" i="71"/>
  <c r="E409" i="71"/>
  <c r="E410" i="71"/>
  <c r="E411" i="71"/>
  <c r="E412" i="71"/>
  <c r="E413" i="71"/>
  <c r="E414" i="71"/>
  <c r="E415" i="71"/>
  <c r="E416" i="71"/>
  <c r="E417" i="71"/>
  <c r="E418" i="71"/>
  <c r="E419" i="71"/>
  <c r="E420" i="71"/>
  <c r="E421" i="71"/>
  <c r="E422" i="71"/>
  <c r="E423" i="71"/>
  <c r="E424" i="71"/>
  <c r="E425" i="71"/>
  <c r="E426" i="71"/>
  <c r="E427" i="71"/>
  <c r="E428" i="71"/>
  <c r="E429" i="71"/>
  <c r="E430" i="71"/>
  <c r="E431" i="71"/>
  <c r="E432" i="71"/>
  <c r="E433" i="71"/>
  <c r="E434" i="71"/>
  <c r="E435" i="71"/>
  <c r="E436" i="71"/>
  <c r="E437" i="71"/>
  <c r="E438" i="71"/>
  <c r="E439" i="71"/>
  <c r="E440" i="71"/>
  <c r="E441" i="71"/>
  <c r="E442" i="71"/>
  <c r="E443" i="71"/>
  <c r="E444" i="71"/>
  <c r="E445" i="71"/>
  <c r="E446" i="71"/>
  <c r="E447" i="71"/>
  <c r="E448" i="71"/>
  <c r="E359" i="71"/>
  <c r="E351" i="71"/>
  <c r="E352" i="71"/>
  <c r="E353" i="71"/>
  <c r="E354" i="71"/>
  <c r="E355" i="71"/>
  <c r="E356" i="71"/>
  <c r="E357" i="71"/>
  <c r="E358" i="71"/>
  <c r="E350" i="71"/>
  <c r="E149" i="71"/>
  <c r="E349" i="71"/>
  <c r="E250" i="71"/>
  <c r="E251" i="71"/>
  <c r="E252" i="71"/>
  <c r="E253" i="71"/>
  <c r="E254" i="71"/>
  <c r="E255" i="71"/>
  <c r="E256" i="71"/>
  <c r="E257" i="71"/>
  <c r="E258" i="71"/>
  <c r="E259" i="71"/>
  <c r="E260" i="71"/>
  <c r="E261" i="71"/>
  <c r="E262" i="71"/>
  <c r="E263" i="71"/>
  <c r="E264" i="71"/>
  <c r="E265" i="71"/>
  <c r="E266" i="71"/>
  <c r="E267" i="71"/>
  <c r="E268" i="71"/>
  <c r="E269" i="71"/>
  <c r="E270" i="71"/>
  <c r="E271" i="71"/>
  <c r="E272" i="71"/>
  <c r="E273" i="71"/>
  <c r="E274" i="71"/>
  <c r="E275" i="71"/>
  <c r="E276" i="71"/>
  <c r="E277" i="71"/>
  <c r="E278" i="71"/>
  <c r="E279" i="71"/>
  <c r="E280" i="71"/>
  <c r="E281" i="71"/>
  <c r="E282" i="71"/>
  <c r="E283" i="71"/>
  <c r="E284" i="71"/>
  <c r="E285" i="71"/>
  <c r="E286" i="71"/>
  <c r="E287" i="71"/>
  <c r="E288" i="71"/>
  <c r="E289" i="71"/>
  <c r="E290" i="71"/>
  <c r="E291" i="71"/>
  <c r="E292" i="71"/>
  <c r="E293" i="71"/>
  <c r="E294" i="71"/>
  <c r="E295" i="71"/>
  <c r="E296" i="71"/>
  <c r="E297" i="71"/>
  <c r="E298" i="71"/>
  <c r="E299" i="71"/>
  <c r="E300" i="71"/>
  <c r="E301" i="71"/>
  <c r="E302" i="71"/>
  <c r="E303" i="71"/>
  <c r="E304" i="71"/>
  <c r="E305" i="71"/>
  <c r="E306" i="71"/>
  <c r="E307" i="71"/>
  <c r="E308" i="71"/>
  <c r="E309" i="71"/>
  <c r="E310" i="71"/>
  <c r="E311" i="71"/>
  <c r="E312" i="71"/>
  <c r="E313" i="71"/>
  <c r="E314" i="71"/>
  <c r="E315" i="71"/>
  <c r="E316" i="71"/>
  <c r="E317" i="71"/>
  <c r="E318" i="71"/>
  <c r="E319" i="71"/>
  <c r="E320" i="71"/>
  <c r="E321" i="71"/>
  <c r="E322" i="71"/>
  <c r="E323" i="71"/>
  <c r="E324" i="71"/>
  <c r="E325" i="71"/>
  <c r="E326" i="71"/>
  <c r="E327" i="71"/>
  <c r="E328" i="71"/>
  <c r="E329" i="71"/>
  <c r="E330" i="71"/>
  <c r="E331" i="71"/>
  <c r="E332" i="71"/>
  <c r="E333" i="71"/>
  <c r="E334" i="71"/>
  <c r="E335" i="71"/>
  <c r="E336" i="71"/>
  <c r="E337" i="71"/>
  <c r="E338" i="71"/>
  <c r="E339" i="71"/>
  <c r="E340" i="71"/>
  <c r="E341" i="71"/>
  <c r="E342" i="71"/>
  <c r="E343" i="71"/>
  <c r="E344" i="71"/>
  <c r="E345" i="71"/>
  <c r="E346" i="71"/>
  <c r="E347" i="71"/>
  <c r="E348" i="71"/>
  <c r="E249" i="71"/>
  <c r="E151" i="71"/>
  <c r="E152" i="71"/>
  <c r="E153" i="71"/>
  <c r="E154" i="71"/>
  <c r="E155" i="71"/>
  <c r="E156" i="71"/>
  <c r="E157" i="71"/>
  <c r="E158" i="71"/>
  <c r="E150" i="71"/>
  <c r="E60" i="71"/>
  <c r="E61" i="71"/>
  <c r="E62" i="71"/>
  <c r="E63" i="71"/>
  <c r="E64" i="71"/>
  <c r="E65" i="71"/>
  <c r="E66" i="71"/>
  <c r="E67" i="71"/>
  <c r="E68" i="71"/>
  <c r="E69" i="71"/>
  <c r="E70" i="71"/>
  <c r="E71" i="71"/>
  <c r="E72" i="71"/>
  <c r="E73" i="71"/>
  <c r="E74" i="71"/>
  <c r="E75" i="71"/>
  <c r="E76" i="71"/>
  <c r="E77" i="71"/>
  <c r="E78" i="71"/>
  <c r="E79" i="71"/>
  <c r="E80" i="71"/>
  <c r="E81" i="71"/>
  <c r="E82" i="71"/>
  <c r="E83" i="71"/>
  <c r="E84" i="71"/>
  <c r="E85" i="71"/>
  <c r="E86" i="71"/>
  <c r="E87" i="71"/>
  <c r="E88" i="71"/>
  <c r="E89" i="71"/>
  <c r="E90" i="71"/>
  <c r="E91" i="71"/>
  <c r="E92" i="71"/>
  <c r="E93" i="71"/>
  <c r="E94" i="71"/>
  <c r="E95" i="71"/>
  <c r="E96" i="71"/>
  <c r="E97" i="71"/>
  <c r="E98" i="71"/>
  <c r="E99" i="71"/>
  <c r="E100" i="71"/>
  <c r="E101" i="71"/>
  <c r="E102" i="71"/>
  <c r="E103" i="71"/>
  <c r="E104" i="71"/>
  <c r="E105" i="71"/>
  <c r="E106" i="71"/>
  <c r="E107" i="71"/>
  <c r="E108" i="71"/>
  <c r="E109" i="71"/>
  <c r="E110" i="71"/>
  <c r="E111" i="71"/>
  <c r="E112" i="71"/>
  <c r="E113" i="71"/>
  <c r="E114" i="71"/>
  <c r="E115" i="71"/>
  <c r="E116" i="71"/>
  <c r="E117" i="71"/>
  <c r="E118" i="71"/>
  <c r="E119" i="71"/>
  <c r="E120" i="71"/>
  <c r="E121" i="71"/>
  <c r="E122" i="71"/>
  <c r="E123" i="71"/>
  <c r="E124" i="71"/>
  <c r="E125" i="71"/>
  <c r="E126" i="71"/>
  <c r="E127" i="71"/>
  <c r="E128" i="71"/>
  <c r="E129" i="71"/>
  <c r="E130" i="71"/>
  <c r="E131" i="71"/>
  <c r="E132" i="71"/>
  <c r="E133" i="71"/>
  <c r="E134" i="71"/>
  <c r="E135" i="71"/>
  <c r="E136" i="71"/>
  <c r="E137" i="71"/>
  <c r="E138" i="71"/>
  <c r="E139" i="71"/>
  <c r="E140" i="71"/>
  <c r="E141" i="71"/>
  <c r="E142" i="71"/>
  <c r="E143" i="71"/>
  <c r="E144" i="71"/>
  <c r="E145" i="71"/>
  <c r="E146" i="71"/>
  <c r="E147" i="71"/>
  <c r="E148" i="71"/>
  <c r="E159" i="71"/>
  <c r="E160" i="71"/>
  <c r="E161" i="71"/>
  <c r="E162" i="71"/>
  <c r="E163" i="71"/>
  <c r="E164" i="71"/>
  <c r="E165" i="71"/>
  <c r="E166" i="71"/>
  <c r="E167" i="71"/>
  <c r="E168" i="71"/>
  <c r="E169" i="71"/>
  <c r="E170" i="71"/>
  <c r="E171" i="71"/>
  <c r="E172" i="71"/>
  <c r="E173" i="71"/>
  <c r="E174" i="71"/>
  <c r="E175" i="71"/>
  <c r="E176" i="71"/>
  <c r="E177" i="71"/>
  <c r="E178" i="71"/>
  <c r="E179" i="71"/>
  <c r="E180" i="71"/>
  <c r="E181" i="71"/>
  <c r="E182" i="71"/>
  <c r="E183" i="71"/>
  <c r="E184" i="71"/>
  <c r="E185" i="71"/>
  <c r="E186" i="71"/>
  <c r="E187" i="71"/>
  <c r="E188" i="71"/>
  <c r="E189" i="71"/>
  <c r="E190" i="71"/>
  <c r="E191" i="71"/>
  <c r="E192" i="71"/>
  <c r="E193" i="71"/>
  <c r="E194" i="71"/>
  <c r="E195" i="71"/>
  <c r="E196" i="71"/>
  <c r="E197" i="71"/>
  <c r="E198" i="71"/>
  <c r="E199" i="71"/>
  <c r="E200" i="71"/>
  <c r="E201" i="71"/>
  <c r="E202" i="71"/>
  <c r="E203" i="71"/>
  <c r="E204" i="71"/>
  <c r="E205" i="71"/>
  <c r="E206" i="71"/>
  <c r="E207" i="71"/>
  <c r="E208" i="71"/>
  <c r="E209" i="71"/>
  <c r="E210" i="71"/>
  <c r="E211" i="71"/>
  <c r="E212" i="71"/>
  <c r="E213" i="71"/>
  <c r="E214" i="71"/>
  <c r="E215" i="71"/>
  <c r="E216" i="71"/>
  <c r="E217" i="71"/>
  <c r="E218" i="71"/>
  <c r="E219" i="71"/>
  <c r="E220" i="71"/>
  <c r="E221" i="71"/>
  <c r="E222" i="71"/>
  <c r="E223" i="71"/>
  <c r="E224" i="71"/>
  <c r="E225" i="71"/>
  <c r="E226" i="71"/>
  <c r="E227" i="71"/>
  <c r="E228" i="71"/>
  <c r="E229" i="71"/>
  <c r="E230" i="71"/>
  <c r="E231" i="71"/>
  <c r="E232" i="71"/>
  <c r="E233" i="71"/>
  <c r="E234" i="71"/>
  <c r="E235" i="71"/>
  <c r="E236" i="71"/>
  <c r="E237" i="71"/>
  <c r="E238" i="71"/>
  <c r="E239" i="71"/>
  <c r="E240" i="71"/>
  <c r="E241" i="71"/>
  <c r="E242" i="71"/>
  <c r="E243" i="71"/>
  <c r="E244" i="71"/>
  <c r="E245" i="71"/>
  <c r="E246" i="71"/>
  <c r="E247" i="71"/>
  <c r="E248" i="71"/>
  <c r="E59" i="71"/>
  <c r="E51" i="71"/>
  <c r="E52" i="71"/>
  <c r="E53" i="71"/>
  <c r="E54" i="71"/>
  <c r="E55" i="71"/>
  <c r="E56" i="71"/>
  <c r="E57" i="71"/>
  <c r="E58" i="71"/>
  <c r="E50" i="71"/>
  <c r="T30" i="5"/>
  <c r="H330" i="34" l="1"/>
  <c r="Q303" i="34"/>
  <c r="H303" i="34"/>
  <c r="Q276" i="34"/>
  <c r="H276" i="34"/>
  <c r="Q249" i="34"/>
  <c r="H249" i="34"/>
  <c r="Q222" i="34"/>
  <c r="H222" i="34"/>
  <c r="Q195" i="34"/>
  <c r="H195" i="34"/>
  <c r="Q168" i="34"/>
  <c r="H168" i="34"/>
  <c r="Q141" i="34"/>
  <c r="H141" i="34"/>
  <c r="H114" i="34"/>
  <c r="Q114" i="34"/>
  <c r="Q87" i="34"/>
  <c r="H87" i="34"/>
  <c r="H60" i="34"/>
  <c r="Q60" i="34"/>
  <c r="Q33" i="34"/>
  <c r="H33" i="34"/>
  <c r="BB65" i="36"/>
  <c r="BF64" i="36"/>
  <c r="BE64" i="36"/>
  <c r="BD64" i="36"/>
  <c r="BC64" i="36"/>
  <c r="BB64" i="36"/>
  <c r="BA64" i="36"/>
  <c r="AZ64" i="36"/>
  <c r="AY64" i="36"/>
  <c r="AX64" i="36"/>
  <c r="AW64" i="36"/>
  <c r="BB63" i="36"/>
  <c r="BF62" i="36"/>
  <c r="BE62" i="36"/>
  <c r="BD62" i="36"/>
  <c r="BC62" i="36"/>
  <c r="BB62" i="36"/>
  <c r="BA62" i="36"/>
  <c r="AZ62" i="36"/>
  <c r="AY62" i="36"/>
  <c r="AX62" i="36"/>
  <c r="AW62" i="36"/>
  <c r="BB61" i="36"/>
  <c r="BF60" i="36"/>
  <c r="BE60" i="36"/>
  <c r="BD60" i="36"/>
  <c r="BC60" i="36"/>
  <c r="BB60" i="36"/>
  <c r="BA60" i="36"/>
  <c r="AZ60" i="36"/>
  <c r="AY60" i="36"/>
  <c r="AX60" i="36"/>
  <c r="AW60" i="36"/>
  <c r="BB59" i="36"/>
  <c r="BF58" i="36"/>
  <c r="BE58" i="36"/>
  <c r="BD58" i="36"/>
  <c r="BC58" i="36"/>
  <c r="BB58" i="36"/>
  <c r="BA58" i="36"/>
  <c r="AZ58" i="36"/>
  <c r="AY58" i="36"/>
  <c r="AX58" i="36"/>
  <c r="AW58" i="36"/>
  <c r="BB57" i="36"/>
  <c r="BF56" i="36"/>
  <c r="BE56" i="36"/>
  <c r="BD56" i="36"/>
  <c r="BC56" i="36"/>
  <c r="BB56" i="36"/>
  <c r="BA56" i="36"/>
  <c r="AZ56" i="36"/>
  <c r="AY56" i="36"/>
  <c r="AX56" i="36"/>
  <c r="AW56" i="36"/>
  <c r="BB55" i="36"/>
  <c r="BF54" i="36"/>
  <c r="BE54" i="36"/>
  <c r="BD54" i="36"/>
  <c r="BC54" i="36"/>
  <c r="BB54" i="36"/>
  <c r="BA54" i="36"/>
  <c r="AZ54" i="36"/>
  <c r="AY54" i="36"/>
  <c r="AX54" i="36"/>
  <c r="AW54" i="36"/>
  <c r="BB53" i="36"/>
  <c r="BB49" i="36"/>
  <c r="BF48" i="36"/>
  <c r="BE48" i="36"/>
  <c r="BD48" i="36"/>
  <c r="BC48" i="36"/>
  <c r="BB48" i="36"/>
  <c r="BA48" i="36"/>
  <c r="AZ48" i="36"/>
  <c r="AY48" i="36"/>
  <c r="AX48" i="36"/>
  <c r="AW48" i="36"/>
  <c r="BB47" i="36"/>
  <c r="BF46" i="36"/>
  <c r="BE46" i="36"/>
  <c r="BD46" i="36"/>
  <c r="BC46" i="36"/>
  <c r="BB46" i="36"/>
  <c r="BA46" i="36"/>
  <c r="AZ46" i="36"/>
  <c r="AY46" i="36"/>
  <c r="AX46" i="36"/>
  <c r="AW46" i="36"/>
  <c r="BB45" i="36"/>
  <c r="BF44" i="36"/>
  <c r="BE44" i="36"/>
  <c r="BD44" i="36"/>
  <c r="BC44" i="36"/>
  <c r="BB44" i="36"/>
  <c r="BA44" i="36"/>
  <c r="AZ44" i="36"/>
  <c r="AY44" i="36"/>
  <c r="AX44" i="36"/>
  <c r="AW44" i="36"/>
  <c r="BB43" i="36"/>
  <c r="BF42" i="36"/>
  <c r="BE42" i="36"/>
  <c r="BD42" i="36"/>
  <c r="BC42" i="36"/>
  <c r="BB42" i="36"/>
  <c r="BA42" i="36"/>
  <c r="AZ42" i="36"/>
  <c r="AY42" i="36"/>
  <c r="AX42" i="36"/>
  <c r="AW42" i="36"/>
  <c r="BB41" i="36"/>
  <c r="BB39" i="36"/>
  <c r="BF38" i="36"/>
  <c r="BE38" i="36"/>
  <c r="BD38" i="36"/>
  <c r="BC38" i="36"/>
  <c r="BB38" i="36"/>
  <c r="BA38" i="36"/>
  <c r="AZ38" i="36"/>
  <c r="AY38" i="36"/>
  <c r="AX38" i="36"/>
  <c r="AW38" i="36"/>
  <c r="BB37" i="36"/>
  <c r="BF36" i="36"/>
  <c r="BE36" i="36"/>
  <c r="BD36" i="36"/>
  <c r="BC36" i="36"/>
  <c r="BB36" i="36"/>
  <c r="BA36" i="36"/>
  <c r="AZ36" i="36"/>
  <c r="AY36" i="36"/>
  <c r="AX36" i="36"/>
  <c r="AW36" i="36"/>
  <c r="BB35" i="36"/>
  <c r="BF34" i="36"/>
  <c r="BE34" i="36"/>
  <c r="BD34" i="36"/>
  <c r="BC34" i="36"/>
  <c r="BB34" i="36"/>
  <c r="BA34" i="36"/>
  <c r="AZ34" i="36"/>
  <c r="AY34" i="36"/>
  <c r="AX34" i="36"/>
  <c r="AW34" i="36"/>
  <c r="BB33" i="36"/>
  <c r="BF32" i="36"/>
  <c r="BE32" i="36"/>
  <c r="BD32" i="36"/>
  <c r="BC32" i="36"/>
  <c r="BB32" i="36"/>
  <c r="BA32" i="36"/>
  <c r="AZ32" i="36"/>
  <c r="AY32" i="36"/>
  <c r="AX32" i="36"/>
  <c r="AW32" i="36"/>
  <c r="BB31" i="36"/>
  <c r="BF30" i="36"/>
  <c r="BE30" i="36"/>
  <c r="BD30" i="36"/>
  <c r="BC30" i="36"/>
  <c r="BB30" i="36"/>
  <c r="BA30" i="36"/>
  <c r="AZ30" i="36"/>
  <c r="AY30" i="36"/>
  <c r="AX30" i="36"/>
  <c r="AW30" i="36"/>
  <c r="BB29" i="36"/>
  <c r="BF28" i="36"/>
  <c r="BE28" i="36"/>
  <c r="BD28" i="36"/>
  <c r="BC28" i="36"/>
  <c r="BB28" i="36"/>
  <c r="BA28" i="36"/>
  <c r="AZ28" i="36"/>
  <c r="AY28" i="36"/>
  <c r="AX28" i="36"/>
  <c r="AW28" i="36"/>
  <c r="BB27" i="36"/>
  <c r="BF26" i="36"/>
  <c r="BE26" i="36"/>
  <c r="BD26" i="36"/>
  <c r="BC26" i="36"/>
  <c r="BB26" i="36"/>
  <c r="BA26" i="36"/>
  <c r="AZ26" i="36"/>
  <c r="AY26" i="36"/>
  <c r="AX26" i="36"/>
  <c r="AW26" i="36"/>
  <c r="BB25" i="36"/>
  <c r="BF24" i="36"/>
  <c r="BE24" i="36"/>
  <c r="BD24" i="36"/>
  <c r="BC24" i="36"/>
  <c r="BB24" i="36"/>
  <c r="BA24" i="36"/>
  <c r="AZ24" i="36"/>
  <c r="AY24" i="36"/>
  <c r="AX24" i="36"/>
  <c r="AW24" i="36"/>
  <c r="BB23" i="36"/>
  <c r="BF22" i="36"/>
  <c r="BE22" i="36"/>
  <c r="BD22" i="36"/>
  <c r="BC22" i="36"/>
  <c r="BB22" i="36"/>
  <c r="BA22" i="36"/>
  <c r="AZ22" i="36"/>
  <c r="AY22" i="36"/>
  <c r="AX22" i="36"/>
  <c r="AW22" i="36"/>
  <c r="BB21" i="36"/>
  <c r="BF20" i="36"/>
  <c r="BE20" i="36"/>
  <c r="BD20" i="36"/>
  <c r="BC20" i="36"/>
  <c r="BB20" i="36"/>
  <c r="BA20" i="36"/>
  <c r="AZ20" i="36"/>
  <c r="AY20" i="36"/>
  <c r="AX20" i="36"/>
  <c r="AW20" i="36"/>
  <c r="BB19" i="36"/>
  <c r="BF18" i="36"/>
  <c r="BE18" i="36"/>
  <c r="BD18" i="36"/>
  <c r="BC18" i="36"/>
  <c r="BB18" i="36"/>
  <c r="BA18" i="36"/>
  <c r="AZ18" i="36"/>
  <c r="AY18" i="36"/>
  <c r="AX18" i="36"/>
  <c r="AW18" i="36"/>
  <c r="BB17" i="36"/>
  <c r="BF16" i="36"/>
  <c r="BE16" i="36"/>
  <c r="BD16" i="36"/>
  <c r="BC16" i="36"/>
  <c r="BB16" i="36"/>
  <c r="BA16" i="36"/>
  <c r="AZ16" i="36"/>
  <c r="AY16" i="36"/>
  <c r="AX16" i="36"/>
  <c r="AW16" i="36"/>
  <c r="BB15" i="36"/>
  <c r="BF14" i="36"/>
  <c r="BE14" i="36"/>
  <c r="BD14" i="36"/>
  <c r="BC14" i="36"/>
  <c r="BB14" i="36"/>
  <c r="BA14" i="36"/>
  <c r="AZ14" i="36"/>
  <c r="AY14" i="36"/>
  <c r="AX14" i="36"/>
  <c r="AW14" i="36"/>
  <c r="BB13" i="36"/>
  <c r="BF12" i="36"/>
  <c r="BE12" i="36"/>
  <c r="BD12" i="36"/>
  <c r="BC12" i="36"/>
  <c r="BB12" i="36"/>
  <c r="BA12" i="36"/>
  <c r="AZ12" i="36"/>
  <c r="AY12" i="36"/>
  <c r="AX12" i="36"/>
  <c r="AW12" i="36"/>
  <c r="BB11" i="36"/>
  <c r="BF10" i="36"/>
  <c r="BF66" i="36" s="1"/>
  <c r="AJ52" i="36" s="1"/>
  <c r="BE10" i="36"/>
  <c r="BD10" i="36"/>
  <c r="BC10" i="36"/>
  <c r="BB10" i="36"/>
  <c r="BB66" i="36" s="1"/>
  <c r="BA10" i="36"/>
  <c r="AZ10" i="36"/>
  <c r="AY10" i="36"/>
  <c r="AX10" i="36"/>
  <c r="AX66" i="36" s="1"/>
  <c r="D6" i="36" s="1"/>
  <c r="AW10" i="36"/>
  <c r="BB39" i="35"/>
  <c r="BF48" i="35"/>
  <c r="BE48" i="35"/>
  <c r="BD48" i="35"/>
  <c r="BC48" i="35"/>
  <c r="BB48" i="35"/>
  <c r="BA48" i="35"/>
  <c r="AZ48" i="35"/>
  <c r="AY48" i="35"/>
  <c r="AX48" i="35"/>
  <c r="AW48" i="35"/>
  <c r="BB47" i="35"/>
  <c r="BF46" i="35"/>
  <c r="BE46" i="35"/>
  <c r="BD46" i="35"/>
  <c r="BC46" i="35"/>
  <c r="BB46" i="35"/>
  <c r="BA46" i="35"/>
  <c r="AZ46" i="35"/>
  <c r="AY46" i="35"/>
  <c r="AX46" i="35"/>
  <c r="AW46" i="35"/>
  <c r="BB45" i="35"/>
  <c r="BF44" i="35"/>
  <c r="BE44" i="35"/>
  <c r="BD44" i="35"/>
  <c r="BC44" i="35"/>
  <c r="BB44" i="35"/>
  <c r="BA44" i="35"/>
  <c r="AZ44" i="35"/>
  <c r="AY44" i="35"/>
  <c r="AX44" i="35"/>
  <c r="AW44" i="35"/>
  <c r="BB43" i="35"/>
  <c r="BF42" i="35"/>
  <c r="BE42" i="35"/>
  <c r="BD42" i="35"/>
  <c r="BC42" i="35"/>
  <c r="BB42" i="35"/>
  <c r="BA42" i="35"/>
  <c r="AZ42" i="35"/>
  <c r="AY42" i="35"/>
  <c r="AX42" i="35"/>
  <c r="AW42" i="35"/>
  <c r="BB41" i="35"/>
  <c r="S19" i="4"/>
  <c r="T19" i="4"/>
  <c r="S20" i="4"/>
  <c r="T20" i="4"/>
  <c r="S21" i="4"/>
  <c r="T21" i="4"/>
  <c r="S22" i="4"/>
  <c r="T22" i="4"/>
  <c r="S23" i="4"/>
  <c r="T23" i="4"/>
  <c r="S24" i="4"/>
  <c r="T24" i="4"/>
  <c r="S25" i="4"/>
  <c r="T25" i="4"/>
  <c r="S26" i="4"/>
  <c r="T26" i="4"/>
  <c r="S27" i="4"/>
  <c r="T27" i="4"/>
  <c r="S29" i="4"/>
  <c r="T29" i="4"/>
  <c r="S30" i="4"/>
  <c r="T30" i="4"/>
  <c r="S31" i="4"/>
  <c r="T31" i="4"/>
  <c r="S32" i="4"/>
  <c r="T32" i="4"/>
  <c r="S33" i="4"/>
  <c r="T33" i="4"/>
  <c r="S34" i="4"/>
  <c r="T34" i="4"/>
  <c r="S35" i="4"/>
  <c r="T35" i="4"/>
  <c r="S36" i="4"/>
  <c r="T36" i="4"/>
  <c r="S37" i="4"/>
  <c r="T37" i="4"/>
  <c r="S38" i="4"/>
  <c r="T38" i="4"/>
  <c r="S39" i="4"/>
  <c r="T39" i="4"/>
  <c r="S40" i="4"/>
  <c r="T40" i="4"/>
  <c r="S41" i="4"/>
  <c r="T41" i="4"/>
  <c r="S42" i="4"/>
  <c r="T42" i="4"/>
  <c r="T18" i="4"/>
  <c r="S18" i="4"/>
  <c r="R40" i="4"/>
  <c r="Q40" i="4"/>
  <c r="P40" i="4"/>
  <c r="P42" i="4"/>
  <c r="Q42" i="4"/>
  <c r="R42" i="4"/>
  <c r="R34" i="4"/>
  <c r="Q34" i="4"/>
  <c r="P34" i="4"/>
  <c r="R38" i="4"/>
  <c r="Q38" i="4"/>
  <c r="P38" i="4"/>
  <c r="R36" i="4"/>
  <c r="Q36" i="4"/>
  <c r="P36" i="4"/>
  <c r="R32" i="4"/>
  <c r="Q32" i="4"/>
  <c r="P32" i="4"/>
  <c r="R30" i="4"/>
  <c r="Q30" i="4"/>
  <c r="P30" i="4"/>
  <c r="L20" i="71"/>
  <c r="I24" i="71"/>
  <c r="F23" i="71"/>
  <c r="F21" i="71"/>
  <c r="I13" i="71"/>
  <c r="N17" i="71"/>
  <c r="M17" i="71"/>
  <c r="L24" i="71"/>
  <c r="L21" i="71"/>
  <c r="I15" i="71"/>
  <c r="C13" i="71"/>
  <c r="E6" i="71" s="1"/>
  <c r="F14" i="71"/>
  <c r="F20" i="71"/>
  <c r="G37" i="71"/>
  <c r="G38" i="71" s="1"/>
  <c r="G39" i="71" s="1"/>
  <c r="G40" i="71" s="1"/>
  <c r="G41" i="71" s="1"/>
  <c r="G42" i="71" s="1"/>
  <c r="G43" i="71" s="1"/>
  <c r="G44" i="71" s="1"/>
  <c r="F37" i="71"/>
  <c r="D2" i="71"/>
  <c r="D1" i="71"/>
  <c r="C2" i="71"/>
  <c r="C1" i="71"/>
  <c r="C7" i="71"/>
  <c r="D7" i="71" s="1"/>
  <c r="C8" i="71"/>
  <c r="D8" i="71" s="1"/>
  <c r="C5" i="71"/>
  <c r="D5" i="71" s="1"/>
  <c r="D10" i="4" l="1"/>
  <c r="AZ66" i="36"/>
  <c r="AJ4" i="36" s="1"/>
  <c r="Q6" i="34" s="1"/>
  <c r="BD66" i="36"/>
  <c r="D52" i="36" s="1"/>
  <c r="AW66" i="36"/>
  <c r="D4" i="36" s="1"/>
  <c r="AY66" i="36"/>
  <c r="T4" i="36" s="1"/>
  <c r="BA66" i="36"/>
  <c r="BC66" i="36"/>
  <c r="AJ2" i="36" s="1"/>
  <c r="BE66" i="36"/>
  <c r="T52" i="36" s="1"/>
  <c r="F38" i="71"/>
  <c r="F39" i="71" s="1"/>
  <c r="F40" i="71" s="1"/>
  <c r="F41" i="71" s="1"/>
  <c r="F42" i="71" s="1"/>
  <c r="F43" i="71" s="1"/>
  <c r="F44" i="71" s="1"/>
  <c r="D12" i="4"/>
  <c r="L24" i="5" s="1"/>
  <c r="T6" i="36"/>
  <c r="AJ6" i="36"/>
  <c r="E1" i="71"/>
  <c r="E2" i="71"/>
  <c r="L17" i="71"/>
  <c r="E7" i="71"/>
  <c r="C60" i="62"/>
  <c r="C59" i="62"/>
  <c r="C58" i="62"/>
  <c r="C57" i="62"/>
  <c r="C56" i="62"/>
  <c r="C55" i="62"/>
  <c r="C54" i="62"/>
  <c r="C53" i="62"/>
  <c r="L2" i="69"/>
  <c r="Z39" i="62"/>
  <c r="O39" i="62"/>
  <c r="D39" i="62"/>
  <c r="Z23" i="62"/>
  <c r="O23" i="62"/>
  <c r="D23" i="62"/>
  <c r="Z7" i="62"/>
  <c r="O7" i="62"/>
  <c r="D7" i="62"/>
  <c r="D8" i="62"/>
  <c r="AB35" i="62"/>
  <c r="Q35" i="62"/>
  <c r="F35" i="62"/>
  <c r="AB19" i="62"/>
  <c r="Q19" i="62"/>
  <c r="F19" i="62"/>
  <c r="AB3" i="62"/>
  <c r="Q3" i="62"/>
  <c r="F3" i="62"/>
  <c r="AF47" i="62"/>
  <c r="Z47" i="62"/>
  <c r="AC44" i="62"/>
  <c r="X44" i="62"/>
  <c r="AC43" i="62"/>
  <c r="X43" i="62"/>
  <c r="AA42" i="62"/>
  <c r="AB41" i="62"/>
  <c r="X41" i="62"/>
  <c r="AD40" i="62"/>
  <c r="Z40" i="62"/>
  <c r="AD38" i="62"/>
  <c r="X35" i="62"/>
  <c r="AG34" i="62"/>
  <c r="X34" i="62"/>
  <c r="U47" i="62"/>
  <c r="O47" i="62"/>
  <c r="R46" i="62"/>
  <c r="R44" i="62"/>
  <c r="M44" i="62"/>
  <c r="R43" i="62"/>
  <c r="M43" i="62"/>
  <c r="P42" i="62"/>
  <c r="Q41" i="62"/>
  <c r="M41" i="62"/>
  <c r="S40" i="62"/>
  <c r="O40" i="62"/>
  <c r="S38" i="62"/>
  <c r="P38" i="62"/>
  <c r="M35" i="62"/>
  <c r="V34" i="62"/>
  <c r="M34" i="62"/>
  <c r="J47" i="62"/>
  <c r="D47" i="62"/>
  <c r="G46" i="62"/>
  <c r="G44" i="62"/>
  <c r="B44" i="62"/>
  <c r="G43" i="62"/>
  <c r="B43" i="62"/>
  <c r="E42" i="62"/>
  <c r="F41" i="62"/>
  <c r="B41" i="62"/>
  <c r="H40" i="62"/>
  <c r="D40" i="62"/>
  <c r="H38" i="62"/>
  <c r="E38" i="62"/>
  <c r="B35" i="62"/>
  <c r="K34" i="62"/>
  <c r="B34" i="62"/>
  <c r="AF31" i="62"/>
  <c r="Z31" i="62"/>
  <c r="AC30" i="62"/>
  <c r="AC28" i="62"/>
  <c r="X28" i="62"/>
  <c r="AC27" i="62"/>
  <c r="X27" i="62"/>
  <c r="AA26" i="62"/>
  <c r="AB25" i="62"/>
  <c r="X25" i="62"/>
  <c r="AD24" i="62"/>
  <c r="Z24" i="62"/>
  <c r="AD22" i="62"/>
  <c r="AA22" i="62"/>
  <c r="X19" i="62"/>
  <c r="AG18" i="62"/>
  <c r="X18" i="62"/>
  <c r="U31" i="62"/>
  <c r="O31" i="62"/>
  <c r="R30" i="62"/>
  <c r="R28" i="62"/>
  <c r="M28" i="62"/>
  <c r="R27" i="62"/>
  <c r="M27" i="62"/>
  <c r="P26" i="62"/>
  <c r="Q25" i="62"/>
  <c r="M25" i="62"/>
  <c r="S24" i="62"/>
  <c r="O24" i="62"/>
  <c r="S22" i="62"/>
  <c r="P22" i="62"/>
  <c r="M19" i="62"/>
  <c r="V18" i="62"/>
  <c r="M18" i="62"/>
  <c r="J31" i="62"/>
  <c r="D31" i="62"/>
  <c r="G30" i="62"/>
  <c r="G28" i="62"/>
  <c r="B28" i="62"/>
  <c r="G27" i="62"/>
  <c r="B27" i="62"/>
  <c r="E26" i="62"/>
  <c r="F25" i="62"/>
  <c r="B25" i="62"/>
  <c r="H24" i="62"/>
  <c r="D24" i="62"/>
  <c r="H22" i="62"/>
  <c r="E22" i="62"/>
  <c r="B19" i="62"/>
  <c r="K18" i="62"/>
  <c r="B18" i="62"/>
  <c r="AF15" i="62"/>
  <c r="Z15" i="62"/>
  <c r="AC14" i="62"/>
  <c r="AC12" i="62"/>
  <c r="X12" i="62"/>
  <c r="AC11" i="62"/>
  <c r="X11" i="62"/>
  <c r="AA10" i="62"/>
  <c r="AB9" i="62"/>
  <c r="X9" i="62"/>
  <c r="AD8" i="62"/>
  <c r="Z8" i="62"/>
  <c r="AD6" i="62"/>
  <c r="AA6" i="62"/>
  <c r="X3" i="62"/>
  <c r="AG2" i="62"/>
  <c r="X2" i="62"/>
  <c r="U15" i="62"/>
  <c r="O15" i="62"/>
  <c r="R14" i="62"/>
  <c r="R12" i="62"/>
  <c r="M12" i="62"/>
  <c r="R11" i="62"/>
  <c r="M11" i="62"/>
  <c r="P10" i="62"/>
  <c r="Q9" i="62"/>
  <c r="M9" i="62"/>
  <c r="S8" i="62"/>
  <c r="O8" i="62"/>
  <c r="S6" i="62"/>
  <c r="P6" i="62"/>
  <c r="M3" i="62"/>
  <c r="V2" i="62"/>
  <c r="M2" i="62"/>
  <c r="D15" i="62"/>
  <c r="J15" i="62"/>
  <c r="G14" i="62"/>
  <c r="G12" i="62"/>
  <c r="B12" i="62"/>
  <c r="G11" i="62"/>
  <c r="B11" i="62"/>
  <c r="E10" i="62"/>
  <c r="F9" i="62"/>
  <c r="B9" i="62"/>
  <c r="H8" i="62"/>
  <c r="H6" i="62"/>
  <c r="E6" i="62"/>
  <c r="B2" i="62"/>
  <c r="B3" i="62"/>
  <c r="R90" i="70"/>
  <c r="P90" i="70"/>
  <c r="N90" i="70"/>
  <c r="L90" i="70"/>
  <c r="R89" i="70"/>
  <c r="P89" i="70"/>
  <c r="N89" i="70"/>
  <c r="L89" i="70"/>
  <c r="R88" i="70"/>
  <c r="P88" i="70"/>
  <c r="N88" i="70"/>
  <c r="L88" i="70"/>
  <c r="R87" i="70"/>
  <c r="P87" i="70"/>
  <c r="N87" i="70"/>
  <c r="L87" i="70"/>
  <c r="R86" i="70"/>
  <c r="P86" i="70"/>
  <c r="N86" i="70"/>
  <c r="L86" i="70"/>
  <c r="R85" i="70"/>
  <c r="P85" i="70"/>
  <c r="N85" i="70"/>
  <c r="L85" i="70"/>
  <c r="R84" i="70"/>
  <c r="P84" i="70"/>
  <c r="N84" i="70"/>
  <c r="L84" i="70"/>
  <c r="R83" i="70"/>
  <c r="P83" i="70"/>
  <c r="N83" i="70"/>
  <c r="L83" i="70"/>
  <c r="R82" i="70"/>
  <c r="P82" i="70"/>
  <c r="N82" i="70"/>
  <c r="L82" i="70"/>
  <c r="R81" i="70"/>
  <c r="P81" i="70"/>
  <c r="N81" i="70"/>
  <c r="L81" i="70"/>
  <c r="R80" i="70"/>
  <c r="P80" i="70"/>
  <c r="N80" i="70"/>
  <c r="L80" i="70"/>
  <c r="R79" i="70"/>
  <c r="P79" i="70"/>
  <c r="N79" i="70"/>
  <c r="L79" i="70"/>
  <c r="R78" i="70"/>
  <c r="P78" i="70"/>
  <c r="N78" i="70"/>
  <c r="L78" i="70"/>
  <c r="R77" i="70"/>
  <c r="P77" i="70"/>
  <c r="N77" i="70"/>
  <c r="L77" i="70"/>
  <c r="R76" i="70"/>
  <c r="P76" i="70"/>
  <c r="N76" i="70"/>
  <c r="L76" i="70"/>
  <c r="R75" i="70"/>
  <c r="P75" i="70"/>
  <c r="N75" i="70"/>
  <c r="L75" i="70"/>
  <c r="R74" i="70"/>
  <c r="R91" i="70" s="1"/>
  <c r="P74" i="70"/>
  <c r="P91" i="70" s="1"/>
  <c r="N74" i="70"/>
  <c r="N91" i="70" s="1"/>
  <c r="L74" i="70"/>
  <c r="L91" i="70" s="1"/>
  <c r="R71" i="70"/>
  <c r="P71" i="70"/>
  <c r="N71" i="70"/>
  <c r="L71" i="70"/>
  <c r="R70" i="70"/>
  <c r="P70" i="70"/>
  <c r="N70" i="70"/>
  <c r="L70" i="70"/>
  <c r="R69" i="70"/>
  <c r="P69" i="70"/>
  <c r="N69" i="70"/>
  <c r="L69" i="70"/>
  <c r="R68" i="70"/>
  <c r="P68" i="70"/>
  <c r="N68" i="70"/>
  <c r="L68" i="70"/>
  <c r="R67" i="70"/>
  <c r="P67" i="70"/>
  <c r="N67" i="70"/>
  <c r="L67" i="70"/>
  <c r="R66" i="70"/>
  <c r="P66" i="70"/>
  <c r="N66" i="70"/>
  <c r="L66" i="70"/>
  <c r="R65" i="70"/>
  <c r="P65" i="70"/>
  <c r="N65" i="70"/>
  <c r="L65" i="70"/>
  <c r="R64" i="70"/>
  <c r="P64" i="70"/>
  <c r="N64" i="70"/>
  <c r="L64" i="70"/>
  <c r="R63" i="70"/>
  <c r="P63" i="70"/>
  <c r="N63" i="70"/>
  <c r="L63" i="70"/>
  <c r="R62" i="70"/>
  <c r="P62" i="70"/>
  <c r="N62" i="70"/>
  <c r="L62" i="70"/>
  <c r="R61" i="70"/>
  <c r="P61" i="70"/>
  <c r="N61" i="70"/>
  <c r="L61" i="70"/>
  <c r="R60" i="70"/>
  <c r="P60" i="70"/>
  <c r="N60" i="70"/>
  <c r="L60" i="70"/>
  <c r="R59" i="70"/>
  <c r="R72" i="70" s="1"/>
  <c r="P59" i="70"/>
  <c r="P72" i="70" s="1"/>
  <c r="N59" i="70"/>
  <c r="N72" i="70" s="1"/>
  <c r="L59" i="70"/>
  <c r="L72" i="70" s="1"/>
  <c r="R56" i="70"/>
  <c r="P56" i="70"/>
  <c r="N56" i="70"/>
  <c r="L56" i="70"/>
  <c r="R55" i="70"/>
  <c r="P55" i="70"/>
  <c r="N55" i="70"/>
  <c r="L55" i="70"/>
  <c r="R54" i="70"/>
  <c r="P54" i="70"/>
  <c r="N54" i="70"/>
  <c r="L54" i="70"/>
  <c r="R53" i="70"/>
  <c r="P53" i="70"/>
  <c r="N53" i="70"/>
  <c r="L53" i="70"/>
  <c r="R52" i="70"/>
  <c r="P52" i="70"/>
  <c r="N52" i="70"/>
  <c r="L52" i="70"/>
  <c r="R51" i="70"/>
  <c r="P51" i="70"/>
  <c r="N51" i="70"/>
  <c r="L51" i="70"/>
  <c r="R50" i="70"/>
  <c r="P50" i="70"/>
  <c r="N50" i="70"/>
  <c r="L50" i="70"/>
  <c r="R49" i="70"/>
  <c r="P49" i="70"/>
  <c r="N49" i="70"/>
  <c r="L49" i="70"/>
  <c r="R48" i="70"/>
  <c r="P48" i="70"/>
  <c r="N48" i="70"/>
  <c r="L48" i="70"/>
  <c r="R47" i="70"/>
  <c r="P47" i="70"/>
  <c r="N47" i="70"/>
  <c r="L47" i="70"/>
  <c r="R46" i="70"/>
  <c r="P46" i="70"/>
  <c r="N46" i="70"/>
  <c r="L46" i="70"/>
  <c r="R45" i="70"/>
  <c r="R57" i="70" s="1"/>
  <c r="P45" i="70"/>
  <c r="P57" i="70" s="1"/>
  <c r="N45" i="70"/>
  <c r="N57" i="70" s="1"/>
  <c r="L45" i="70"/>
  <c r="L57" i="70" s="1"/>
  <c r="J9" i="70"/>
  <c r="N46" i="62" s="1"/>
  <c r="L2" i="70"/>
  <c r="J11" i="70" s="1"/>
  <c r="U46" i="62" s="1"/>
  <c r="R90" i="69"/>
  <c r="P90" i="69"/>
  <c r="N90" i="69"/>
  <c r="L90" i="69"/>
  <c r="R89" i="69"/>
  <c r="P89" i="69"/>
  <c r="N89" i="69"/>
  <c r="L89" i="69"/>
  <c r="R88" i="69"/>
  <c r="P88" i="69"/>
  <c r="N88" i="69"/>
  <c r="L88" i="69"/>
  <c r="R87" i="69"/>
  <c r="P87" i="69"/>
  <c r="N87" i="69"/>
  <c r="L87" i="69"/>
  <c r="R86" i="69"/>
  <c r="P86" i="69"/>
  <c r="N86" i="69"/>
  <c r="L86" i="69"/>
  <c r="R85" i="69"/>
  <c r="P85" i="69"/>
  <c r="N85" i="69"/>
  <c r="L85" i="69"/>
  <c r="R84" i="69"/>
  <c r="P84" i="69"/>
  <c r="N84" i="69"/>
  <c r="L84" i="69"/>
  <c r="R83" i="69"/>
  <c r="P83" i="69"/>
  <c r="N83" i="69"/>
  <c r="L83" i="69"/>
  <c r="R82" i="69"/>
  <c r="P82" i="69"/>
  <c r="N82" i="69"/>
  <c r="L82" i="69"/>
  <c r="R81" i="69"/>
  <c r="P81" i="69"/>
  <c r="N81" i="69"/>
  <c r="L81" i="69"/>
  <c r="R80" i="69"/>
  <c r="P80" i="69"/>
  <c r="N80" i="69"/>
  <c r="L80" i="69"/>
  <c r="R79" i="69"/>
  <c r="P79" i="69"/>
  <c r="N79" i="69"/>
  <c r="L79" i="69"/>
  <c r="R78" i="69"/>
  <c r="P78" i="69"/>
  <c r="N78" i="69"/>
  <c r="L78" i="69"/>
  <c r="R77" i="69"/>
  <c r="P77" i="69"/>
  <c r="N77" i="69"/>
  <c r="L77" i="69"/>
  <c r="R76" i="69"/>
  <c r="P76" i="69"/>
  <c r="N76" i="69"/>
  <c r="L76" i="69"/>
  <c r="R75" i="69"/>
  <c r="P75" i="69"/>
  <c r="N75" i="69"/>
  <c r="L75" i="69"/>
  <c r="R74" i="69"/>
  <c r="R91" i="69" s="1"/>
  <c r="P74" i="69"/>
  <c r="P91" i="69" s="1"/>
  <c r="N74" i="69"/>
  <c r="N91" i="69" s="1"/>
  <c r="L74" i="69"/>
  <c r="L91" i="69" s="1"/>
  <c r="R71" i="69"/>
  <c r="P71" i="69"/>
  <c r="N71" i="69"/>
  <c r="L71" i="69"/>
  <c r="R70" i="69"/>
  <c r="P70" i="69"/>
  <c r="N70" i="69"/>
  <c r="L70" i="69"/>
  <c r="R69" i="69"/>
  <c r="P69" i="69"/>
  <c r="N69" i="69"/>
  <c r="L69" i="69"/>
  <c r="R68" i="69"/>
  <c r="P68" i="69"/>
  <c r="N68" i="69"/>
  <c r="L68" i="69"/>
  <c r="R67" i="69"/>
  <c r="P67" i="69"/>
  <c r="N67" i="69"/>
  <c r="L67" i="69"/>
  <c r="R66" i="69"/>
  <c r="P66" i="69"/>
  <c r="N66" i="69"/>
  <c r="L66" i="69"/>
  <c r="R65" i="69"/>
  <c r="P65" i="69"/>
  <c r="N65" i="69"/>
  <c r="L65" i="69"/>
  <c r="R64" i="69"/>
  <c r="P64" i="69"/>
  <c r="N64" i="69"/>
  <c r="L64" i="69"/>
  <c r="R63" i="69"/>
  <c r="P63" i="69"/>
  <c r="N63" i="69"/>
  <c r="L63" i="69"/>
  <c r="R62" i="69"/>
  <c r="P62" i="69"/>
  <c r="N62" i="69"/>
  <c r="L62" i="69"/>
  <c r="R61" i="69"/>
  <c r="P61" i="69"/>
  <c r="N61" i="69"/>
  <c r="L61" i="69"/>
  <c r="R60" i="69"/>
  <c r="P60" i="69"/>
  <c r="N60" i="69"/>
  <c r="L60" i="69"/>
  <c r="R59" i="69"/>
  <c r="R72" i="69" s="1"/>
  <c r="P59" i="69"/>
  <c r="P72" i="69" s="1"/>
  <c r="N59" i="69"/>
  <c r="N72" i="69" s="1"/>
  <c r="L59" i="69"/>
  <c r="L72" i="69" s="1"/>
  <c r="R56" i="69"/>
  <c r="P56" i="69"/>
  <c r="N56" i="69"/>
  <c r="L56" i="69"/>
  <c r="R55" i="69"/>
  <c r="P55" i="69"/>
  <c r="N55" i="69"/>
  <c r="L55" i="69"/>
  <c r="R54" i="69"/>
  <c r="P54" i="69"/>
  <c r="N54" i="69"/>
  <c r="L54" i="69"/>
  <c r="R53" i="69"/>
  <c r="P53" i="69"/>
  <c r="N53" i="69"/>
  <c r="L53" i="69"/>
  <c r="R52" i="69"/>
  <c r="P52" i="69"/>
  <c r="N52" i="69"/>
  <c r="L52" i="69"/>
  <c r="R51" i="69"/>
  <c r="P51" i="69"/>
  <c r="N51" i="69"/>
  <c r="L51" i="69"/>
  <c r="R50" i="69"/>
  <c r="P50" i="69"/>
  <c r="N50" i="69"/>
  <c r="L50" i="69"/>
  <c r="R49" i="69"/>
  <c r="P49" i="69"/>
  <c r="N49" i="69"/>
  <c r="L49" i="69"/>
  <c r="R48" i="69"/>
  <c r="P48" i="69"/>
  <c r="N48" i="69"/>
  <c r="L48" i="69"/>
  <c r="R47" i="69"/>
  <c r="P47" i="69"/>
  <c r="N47" i="69"/>
  <c r="L47" i="69"/>
  <c r="R46" i="69"/>
  <c r="P46" i="69"/>
  <c r="N46" i="69"/>
  <c r="L46" i="69"/>
  <c r="R45" i="69"/>
  <c r="R57" i="69" s="1"/>
  <c r="P45" i="69"/>
  <c r="P57" i="69" s="1"/>
  <c r="AC46" i="62" s="1"/>
  <c r="N45" i="69"/>
  <c r="N57" i="69" s="1"/>
  <c r="L45" i="69"/>
  <c r="L57" i="69" s="1"/>
  <c r="J9" i="69"/>
  <c r="Y46" i="62" s="1"/>
  <c r="R90" i="68"/>
  <c r="P90" i="68"/>
  <c r="N90" i="68"/>
  <c r="L90" i="68"/>
  <c r="R89" i="68"/>
  <c r="P89" i="68"/>
  <c r="N89" i="68"/>
  <c r="L89" i="68"/>
  <c r="R88" i="68"/>
  <c r="P88" i="68"/>
  <c r="N88" i="68"/>
  <c r="L88" i="68"/>
  <c r="R87" i="68"/>
  <c r="P87" i="68"/>
  <c r="N87" i="68"/>
  <c r="L87" i="68"/>
  <c r="R86" i="68"/>
  <c r="P86" i="68"/>
  <c r="N86" i="68"/>
  <c r="L86" i="68"/>
  <c r="R85" i="68"/>
  <c r="P85" i="68"/>
  <c r="N85" i="68"/>
  <c r="L85" i="68"/>
  <c r="R84" i="68"/>
  <c r="P84" i="68"/>
  <c r="N84" i="68"/>
  <c r="L84" i="68"/>
  <c r="R83" i="68"/>
  <c r="P83" i="68"/>
  <c r="N83" i="68"/>
  <c r="L83" i="68"/>
  <c r="R82" i="68"/>
  <c r="P82" i="68"/>
  <c r="N82" i="68"/>
  <c r="L82" i="68"/>
  <c r="R81" i="68"/>
  <c r="P81" i="68"/>
  <c r="N81" i="68"/>
  <c r="L81" i="68"/>
  <c r="R80" i="68"/>
  <c r="P80" i="68"/>
  <c r="N80" i="68"/>
  <c r="L80" i="68"/>
  <c r="R79" i="68"/>
  <c r="P79" i="68"/>
  <c r="N79" i="68"/>
  <c r="L79" i="68"/>
  <c r="R78" i="68"/>
  <c r="P78" i="68"/>
  <c r="N78" i="68"/>
  <c r="L78" i="68"/>
  <c r="R77" i="68"/>
  <c r="P77" i="68"/>
  <c r="N77" i="68"/>
  <c r="L77" i="68"/>
  <c r="R76" i="68"/>
  <c r="P76" i="68"/>
  <c r="N76" i="68"/>
  <c r="L76" i="68"/>
  <c r="R75" i="68"/>
  <c r="P75" i="68"/>
  <c r="N75" i="68"/>
  <c r="L75" i="68"/>
  <c r="R74" i="68"/>
  <c r="R91" i="68" s="1"/>
  <c r="P74" i="68"/>
  <c r="P91" i="68" s="1"/>
  <c r="N74" i="68"/>
  <c r="N91" i="68" s="1"/>
  <c r="L74" i="68"/>
  <c r="L91" i="68" s="1"/>
  <c r="R71" i="68"/>
  <c r="P71" i="68"/>
  <c r="N71" i="68"/>
  <c r="L71" i="68"/>
  <c r="R70" i="68"/>
  <c r="P70" i="68"/>
  <c r="N70" i="68"/>
  <c r="L70" i="68"/>
  <c r="R69" i="68"/>
  <c r="P69" i="68"/>
  <c r="N69" i="68"/>
  <c r="L69" i="68"/>
  <c r="R68" i="68"/>
  <c r="P68" i="68"/>
  <c r="N68" i="68"/>
  <c r="L68" i="68"/>
  <c r="R67" i="68"/>
  <c r="P67" i="68"/>
  <c r="N67" i="68"/>
  <c r="L67" i="68"/>
  <c r="R66" i="68"/>
  <c r="P66" i="68"/>
  <c r="N66" i="68"/>
  <c r="L66" i="68"/>
  <c r="R65" i="68"/>
  <c r="P65" i="68"/>
  <c r="N65" i="68"/>
  <c r="L65" i="68"/>
  <c r="R64" i="68"/>
  <c r="P64" i="68"/>
  <c r="N64" i="68"/>
  <c r="L64" i="68"/>
  <c r="R63" i="68"/>
  <c r="P63" i="68"/>
  <c r="N63" i="68"/>
  <c r="L63" i="68"/>
  <c r="R62" i="68"/>
  <c r="P62" i="68"/>
  <c r="N62" i="68"/>
  <c r="L62" i="68"/>
  <c r="R61" i="68"/>
  <c r="P61" i="68"/>
  <c r="N61" i="68"/>
  <c r="L61" i="68"/>
  <c r="R60" i="68"/>
  <c r="P60" i="68"/>
  <c r="N60" i="68"/>
  <c r="L60" i="68"/>
  <c r="R59" i="68"/>
  <c r="R72" i="68" s="1"/>
  <c r="P59" i="68"/>
  <c r="P72" i="68" s="1"/>
  <c r="N59" i="68"/>
  <c r="N72" i="68" s="1"/>
  <c r="L59" i="68"/>
  <c r="L72" i="68" s="1"/>
  <c r="R56" i="68"/>
  <c r="P56" i="68"/>
  <c r="N56" i="68"/>
  <c r="L56" i="68"/>
  <c r="R55" i="68"/>
  <c r="P55" i="68"/>
  <c r="N55" i="68"/>
  <c r="L55" i="68"/>
  <c r="R54" i="68"/>
  <c r="P54" i="68"/>
  <c r="N54" i="68"/>
  <c r="L54" i="68"/>
  <c r="R53" i="68"/>
  <c r="P53" i="68"/>
  <c r="N53" i="68"/>
  <c r="L53" i="68"/>
  <c r="R52" i="68"/>
  <c r="P52" i="68"/>
  <c r="N52" i="68"/>
  <c r="L52" i="68"/>
  <c r="R51" i="68"/>
  <c r="P51" i="68"/>
  <c r="N51" i="68"/>
  <c r="L51" i="68"/>
  <c r="R50" i="68"/>
  <c r="P50" i="68"/>
  <c r="N50" i="68"/>
  <c r="L50" i="68"/>
  <c r="R49" i="68"/>
  <c r="P49" i="68"/>
  <c r="N49" i="68"/>
  <c r="L49" i="68"/>
  <c r="R48" i="68"/>
  <c r="P48" i="68"/>
  <c r="N48" i="68"/>
  <c r="L48" i="68"/>
  <c r="R47" i="68"/>
  <c r="P47" i="68"/>
  <c r="N47" i="68"/>
  <c r="L47" i="68"/>
  <c r="R46" i="68"/>
  <c r="P46" i="68"/>
  <c r="N46" i="68"/>
  <c r="L46" i="68"/>
  <c r="R45" i="68"/>
  <c r="R57" i="68" s="1"/>
  <c r="P45" i="68"/>
  <c r="P57" i="68" s="1"/>
  <c r="N45" i="68"/>
  <c r="N57" i="68" s="1"/>
  <c r="L45" i="68"/>
  <c r="L57" i="68" s="1"/>
  <c r="J9" i="68"/>
  <c r="C46" i="62" s="1"/>
  <c r="L2" i="68"/>
  <c r="J11" i="68" s="1"/>
  <c r="J46" i="62" s="1"/>
  <c r="R90" i="67"/>
  <c r="P90" i="67"/>
  <c r="N90" i="67"/>
  <c r="L90" i="67"/>
  <c r="R89" i="67"/>
  <c r="P89" i="67"/>
  <c r="N89" i="67"/>
  <c r="L89" i="67"/>
  <c r="R88" i="67"/>
  <c r="P88" i="67"/>
  <c r="N88" i="67"/>
  <c r="L88" i="67"/>
  <c r="R87" i="67"/>
  <c r="P87" i="67"/>
  <c r="N87" i="67"/>
  <c r="L87" i="67"/>
  <c r="R86" i="67"/>
  <c r="P86" i="67"/>
  <c r="N86" i="67"/>
  <c r="L86" i="67"/>
  <c r="R85" i="67"/>
  <c r="P85" i="67"/>
  <c r="N85" i="67"/>
  <c r="L85" i="67"/>
  <c r="R84" i="67"/>
  <c r="P84" i="67"/>
  <c r="N84" i="67"/>
  <c r="L84" i="67"/>
  <c r="R83" i="67"/>
  <c r="P83" i="67"/>
  <c r="N83" i="67"/>
  <c r="L83" i="67"/>
  <c r="R82" i="67"/>
  <c r="P82" i="67"/>
  <c r="N82" i="67"/>
  <c r="L82" i="67"/>
  <c r="R81" i="67"/>
  <c r="P81" i="67"/>
  <c r="N81" i="67"/>
  <c r="L81" i="67"/>
  <c r="R80" i="67"/>
  <c r="P80" i="67"/>
  <c r="N80" i="67"/>
  <c r="L80" i="67"/>
  <c r="R79" i="67"/>
  <c r="P79" i="67"/>
  <c r="N79" i="67"/>
  <c r="L79" i="67"/>
  <c r="R78" i="67"/>
  <c r="P78" i="67"/>
  <c r="N78" i="67"/>
  <c r="L78" i="67"/>
  <c r="R77" i="67"/>
  <c r="P77" i="67"/>
  <c r="N77" i="67"/>
  <c r="L77" i="67"/>
  <c r="R76" i="67"/>
  <c r="P76" i="67"/>
  <c r="N76" i="67"/>
  <c r="L76" i="67"/>
  <c r="R75" i="67"/>
  <c r="P75" i="67"/>
  <c r="N75" i="67"/>
  <c r="L75" i="67"/>
  <c r="R74" i="67"/>
  <c r="R91" i="67" s="1"/>
  <c r="P74" i="67"/>
  <c r="P91" i="67" s="1"/>
  <c r="N74" i="67"/>
  <c r="N91" i="67" s="1"/>
  <c r="L74" i="67"/>
  <c r="L91" i="67" s="1"/>
  <c r="R71" i="67"/>
  <c r="P71" i="67"/>
  <c r="N71" i="67"/>
  <c r="L71" i="67"/>
  <c r="R70" i="67"/>
  <c r="P70" i="67"/>
  <c r="N70" i="67"/>
  <c r="L70" i="67"/>
  <c r="R69" i="67"/>
  <c r="P69" i="67"/>
  <c r="N69" i="67"/>
  <c r="L69" i="67"/>
  <c r="R68" i="67"/>
  <c r="P68" i="67"/>
  <c r="N68" i="67"/>
  <c r="L68" i="67"/>
  <c r="R67" i="67"/>
  <c r="P67" i="67"/>
  <c r="N67" i="67"/>
  <c r="L67" i="67"/>
  <c r="R66" i="67"/>
  <c r="P66" i="67"/>
  <c r="N66" i="67"/>
  <c r="L66" i="67"/>
  <c r="R65" i="67"/>
  <c r="P65" i="67"/>
  <c r="N65" i="67"/>
  <c r="L65" i="67"/>
  <c r="R64" i="67"/>
  <c r="P64" i="67"/>
  <c r="N64" i="67"/>
  <c r="L64" i="67"/>
  <c r="R63" i="67"/>
  <c r="P63" i="67"/>
  <c r="N63" i="67"/>
  <c r="L63" i="67"/>
  <c r="R62" i="67"/>
  <c r="P62" i="67"/>
  <c r="N62" i="67"/>
  <c r="L62" i="67"/>
  <c r="R61" i="67"/>
  <c r="P61" i="67"/>
  <c r="N61" i="67"/>
  <c r="L61" i="67"/>
  <c r="R60" i="67"/>
  <c r="P60" i="67"/>
  <c r="N60" i="67"/>
  <c r="L60" i="67"/>
  <c r="R59" i="67"/>
  <c r="R72" i="67" s="1"/>
  <c r="P59" i="67"/>
  <c r="P72" i="67" s="1"/>
  <c r="N59" i="67"/>
  <c r="N72" i="67" s="1"/>
  <c r="L59" i="67"/>
  <c r="L72" i="67" s="1"/>
  <c r="R56" i="67"/>
  <c r="P56" i="67"/>
  <c r="N56" i="67"/>
  <c r="L56" i="67"/>
  <c r="R55" i="67"/>
  <c r="P55" i="67"/>
  <c r="N55" i="67"/>
  <c r="L55" i="67"/>
  <c r="R54" i="67"/>
  <c r="P54" i="67"/>
  <c r="N54" i="67"/>
  <c r="L54" i="67"/>
  <c r="R53" i="67"/>
  <c r="P53" i="67"/>
  <c r="N53" i="67"/>
  <c r="L53" i="67"/>
  <c r="R52" i="67"/>
  <c r="P52" i="67"/>
  <c r="N52" i="67"/>
  <c r="L52" i="67"/>
  <c r="R51" i="67"/>
  <c r="P51" i="67"/>
  <c r="N51" i="67"/>
  <c r="L51" i="67"/>
  <c r="R50" i="67"/>
  <c r="P50" i="67"/>
  <c r="N50" i="67"/>
  <c r="L50" i="67"/>
  <c r="R49" i="67"/>
  <c r="P49" i="67"/>
  <c r="N49" i="67"/>
  <c r="L49" i="67"/>
  <c r="R48" i="67"/>
  <c r="P48" i="67"/>
  <c r="N48" i="67"/>
  <c r="L48" i="67"/>
  <c r="R47" i="67"/>
  <c r="P47" i="67"/>
  <c r="N47" i="67"/>
  <c r="L47" i="67"/>
  <c r="R46" i="67"/>
  <c r="P46" i="67"/>
  <c r="N46" i="67"/>
  <c r="L46" i="67"/>
  <c r="R45" i="67"/>
  <c r="R57" i="67" s="1"/>
  <c r="P45" i="67"/>
  <c r="P57" i="67" s="1"/>
  <c r="N45" i="67"/>
  <c r="N57" i="67" s="1"/>
  <c r="L45" i="67"/>
  <c r="L57" i="67" s="1"/>
  <c r="J9" i="67"/>
  <c r="Y30" i="62" s="1"/>
  <c r="L2" i="67"/>
  <c r="J11" i="67" s="1"/>
  <c r="AF30" i="62" s="1"/>
  <c r="R90" i="66"/>
  <c r="P90" i="66"/>
  <c r="N90" i="66"/>
  <c r="L90" i="66"/>
  <c r="R89" i="66"/>
  <c r="P89" i="66"/>
  <c r="N89" i="66"/>
  <c r="L89" i="66"/>
  <c r="R88" i="66"/>
  <c r="P88" i="66"/>
  <c r="N88" i="66"/>
  <c r="L88" i="66"/>
  <c r="R87" i="66"/>
  <c r="P87" i="66"/>
  <c r="N87" i="66"/>
  <c r="L87" i="66"/>
  <c r="R86" i="66"/>
  <c r="P86" i="66"/>
  <c r="N86" i="66"/>
  <c r="L86" i="66"/>
  <c r="R85" i="66"/>
  <c r="P85" i="66"/>
  <c r="N85" i="66"/>
  <c r="L85" i="66"/>
  <c r="R84" i="66"/>
  <c r="P84" i="66"/>
  <c r="N84" i="66"/>
  <c r="L84" i="66"/>
  <c r="R83" i="66"/>
  <c r="P83" i="66"/>
  <c r="N83" i="66"/>
  <c r="L83" i="66"/>
  <c r="R82" i="66"/>
  <c r="P82" i="66"/>
  <c r="N82" i="66"/>
  <c r="L82" i="66"/>
  <c r="R81" i="66"/>
  <c r="P81" i="66"/>
  <c r="N81" i="66"/>
  <c r="L81" i="66"/>
  <c r="R80" i="66"/>
  <c r="P80" i="66"/>
  <c r="N80" i="66"/>
  <c r="L80" i="66"/>
  <c r="R79" i="66"/>
  <c r="P79" i="66"/>
  <c r="N79" i="66"/>
  <c r="L79" i="66"/>
  <c r="R78" i="66"/>
  <c r="P78" i="66"/>
  <c r="N78" i="66"/>
  <c r="L78" i="66"/>
  <c r="R77" i="66"/>
  <c r="P77" i="66"/>
  <c r="N77" i="66"/>
  <c r="L77" i="66"/>
  <c r="R76" i="66"/>
  <c r="P76" i="66"/>
  <c r="N76" i="66"/>
  <c r="L76" i="66"/>
  <c r="R75" i="66"/>
  <c r="P75" i="66"/>
  <c r="N75" i="66"/>
  <c r="L75" i="66"/>
  <c r="R74" i="66"/>
  <c r="R91" i="66" s="1"/>
  <c r="P74" i="66"/>
  <c r="P91" i="66" s="1"/>
  <c r="N74" i="66"/>
  <c r="N91" i="66" s="1"/>
  <c r="L74" i="66"/>
  <c r="L91" i="66" s="1"/>
  <c r="R71" i="66"/>
  <c r="P71" i="66"/>
  <c r="N71" i="66"/>
  <c r="L71" i="66"/>
  <c r="R70" i="66"/>
  <c r="P70" i="66"/>
  <c r="N70" i="66"/>
  <c r="L70" i="66"/>
  <c r="R69" i="66"/>
  <c r="P69" i="66"/>
  <c r="N69" i="66"/>
  <c r="L69" i="66"/>
  <c r="R68" i="66"/>
  <c r="P68" i="66"/>
  <c r="N68" i="66"/>
  <c r="L68" i="66"/>
  <c r="R67" i="66"/>
  <c r="P67" i="66"/>
  <c r="N67" i="66"/>
  <c r="L67" i="66"/>
  <c r="R66" i="66"/>
  <c r="P66" i="66"/>
  <c r="N66" i="66"/>
  <c r="L66" i="66"/>
  <c r="R65" i="66"/>
  <c r="P65" i="66"/>
  <c r="N65" i="66"/>
  <c r="L65" i="66"/>
  <c r="R64" i="66"/>
  <c r="P64" i="66"/>
  <c r="N64" i="66"/>
  <c r="L64" i="66"/>
  <c r="R63" i="66"/>
  <c r="P63" i="66"/>
  <c r="N63" i="66"/>
  <c r="L63" i="66"/>
  <c r="R62" i="66"/>
  <c r="P62" i="66"/>
  <c r="N62" i="66"/>
  <c r="L62" i="66"/>
  <c r="R61" i="66"/>
  <c r="P61" i="66"/>
  <c r="N61" i="66"/>
  <c r="L61" i="66"/>
  <c r="R60" i="66"/>
  <c r="P60" i="66"/>
  <c r="N60" i="66"/>
  <c r="L60" i="66"/>
  <c r="R59" i="66"/>
  <c r="R72" i="66" s="1"/>
  <c r="P59" i="66"/>
  <c r="P72" i="66" s="1"/>
  <c r="N59" i="66"/>
  <c r="N72" i="66" s="1"/>
  <c r="L59" i="66"/>
  <c r="L72" i="66" s="1"/>
  <c r="R56" i="66"/>
  <c r="P56" i="66"/>
  <c r="N56" i="66"/>
  <c r="L56" i="66"/>
  <c r="R55" i="66"/>
  <c r="P55" i="66"/>
  <c r="N55" i="66"/>
  <c r="L55" i="66"/>
  <c r="R54" i="66"/>
  <c r="P54" i="66"/>
  <c r="N54" i="66"/>
  <c r="L54" i="66"/>
  <c r="R53" i="66"/>
  <c r="P53" i="66"/>
  <c r="N53" i="66"/>
  <c r="L53" i="66"/>
  <c r="R52" i="66"/>
  <c r="P52" i="66"/>
  <c r="N52" i="66"/>
  <c r="L52" i="66"/>
  <c r="R51" i="66"/>
  <c r="P51" i="66"/>
  <c r="N51" i="66"/>
  <c r="L51" i="66"/>
  <c r="R50" i="66"/>
  <c r="P50" i="66"/>
  <c r="N50" i="66"/>
  <c r="L50" i="66"/>
  <c r="R49" i="66"/>
  <c r="P49" i="66"/>
  <c r="N49" i="66"/>
  <c r="L49" i="66"/>
  <c r="R48" i="66"/>
  <c r="P48" i="66"/>
  <c r="N48" i="66"/>
  <c r="L48" i="66"/>
  <c r="R47" i="66"/>
  <c r="P47" i="66"/>
  <c r="N47" i="66"/>
  <c r="L47" i="66"/>
  <c r="R46" i="66"/>
  <c r="P46" i="66"/>
  <c r="N46" i="66"/>
  <c r="L46" i="66"/>
  <c r="R45" i="66"/>
  <c r="R57" i="66" s="1"/>
  <c r="P45" i="66"/>
  <c r="P57" i="66" s="1"/>
  <c r="N45" i="66"/>
  <c r="N57" i="66" s="1"/>
  <c r="L45" i="66"/>
  <c r="L57" i="66" s="1"/>
  <c r="J9" i="66"/>
  <c r="N30" i="62" s="1"/>
  <c r="L2" i="66"/>
  <c r="J11" i="66" s="1"/>
  <c r="U30" i="62" s="1"/>
  <c r="R90" i="65"/>
  <c r="P90" i="65"/>
  <c r="N90" i="65"/>
  <c r="L90" i="65"/>
  <c r="R89" i="65"/>
  <c r="P89" i="65"/>
  <c r="N89" i="65"/>
  <c r="L89" i="65"/>
  <c r="R88" i="65"/>
  <c r="P88" i="65"/>
  <c r="N88" i="65"/>
  <c r="L88" i="65"/>
  <c r="R87" i="65"/>
  <c r="P87" i="65"/>
  <c r="N87" i="65"/>
  <c r="L87" i="65"/>
  <c r="R86" i="65"/>
  <c r="P86" i="65"/>
  <c r="N86" i="65"/>
  <c r="L86" i="65"/>
  <c r="R85" i="65"/>
  <c r="P85" i="65"/>
  <c r="N85" i="65"/>
  <c r="L85" i="65"/>
  <c r="R84" i="65"/>
  <c r="P84" i="65"/>
  <c r="N84" i="65"/>
  <c r="L84" i="65"/>
  <c r="R83" i="65"/>
  <c r="P83" i="65"/>
  <c r="N83" i="65"/>
  <c r="L83" i="65"/>
  <c r="R82" i="65"/>
  <c r="P82" i="65"/>
  <c r="N82" i="65"/>
  <c r="L82" i="65"/>
  <c r="R81" i="65"/>
  <c r="P81" i="65"/>
  <c r="N81" i="65"/>
  <c r="L81" i="65"/>
  <c r="R80" i="65"/>
  <c r="P80" i="65"/>
  <c r="N80" i="65"/>
  <c r="L80" i="65"/>
  <c r="R79" i="65"/>
  <c r="P79" i="65"/>
  <c r="N79" i="65"/>
  <c r="L79" i="65"/>
  <c r="R78" i="65"/>
  <c r="P78" i="65"/>
  <c r="N78" i="65"/>
  <c r="L78" i="65"/>
  <c r="R77" i="65"/>
  <c r="P77" i="65"/>
  <c r="N77" i="65"/>
  <c r="L77" i="65"/>
  <c r="R76" i="65"/>
  <c r="P76" i="65"/>
  <c r="N76" i="65"/>
  <c r="L76" i="65"/>
  <c r="R75" i="65"/>
  <c r="P75" i="65"/>
  <c r="N75" i="65"/>
  <c r="L75" i="65"/>
  <c r="R74" i="65"/>
  <c r="R91" i="65" s="1"/>
  <c r="P74" i="65"/>
  <c r="P91" i="65" s="1"/>
  <c r="N74" i="65"/>
  <c r="N91" i="65" s="1"/>
  <c r="L74" i="65"/>
  <c r="L91" i="65" s="1"/>
  <c r="R71" i="65"/>
  <c r="P71" i="65"/>
  <c r="N71" i="65"/>
  <c r="L71" i="65"/>
  <c r="R70" i="65"/>
  <c r="P70" i="65"/>
  <c r="N70" i="65"/>
  <c r="L70" i="65"/>
  <c r="R69" i="65"/>
  <c r="P69" i="65"/>
  <c r="N69" i="65"/>
  <c r="L69" i="65"/>
  <c r="R68" i="65"/>
  <c r="P68" i="65"/>
  <c r="N68" i="65"/>
  <c r="L68" i="65"/>
  <c r="R67" i="65"/>
  <c r="P67" i="65"/>
  <c r="N67" i="65"/>
  <c r="L67" i="65"/>
  <c r="R66" i="65"/>
  <c r="P66" i="65"/>
  <c r="N66" i="65"/>
  <c r="L66" i="65"/>
  <c r="R65" i="65"/>
  <c r="P65" i="65"/>
  <c r="N65" i="65"/>
  <c r="L65" i="65"/>
  <c r="R64" i="65"/>
  <c r="P64" i="65"/>
  <c r="N64" i="65"/>
  <c r="L64" i="65"/>
  <c r="R63" i="65"/>
  <c r="P63" i="65"/>
  <c r="N63" i="65"/>
  <c r="L63" i="65"/>
  <c r="R62" i="65"/>
  <c r="P62" i="65"/>
  <c r="N62" i="65"/>
  <c r="L62" i="65"/>
  <c r="R61" i="65"/>
  <c r="P61" i="65"/>
  <c r="N61" i="65"/>
  <c r="L61" i="65"/>
  <c r="R60" i="65"/>
  <c r="P60" i="65"/>
  <c r="N60" i="65"/>
  <c r="L60" i="65"/>
  <c r="R59" i="65"/>
  <c r="R72" i="65" s="1"/>
  <c r="P59" i="65"/>
  <c r="P72" i="65" s="1"/>
  <c r="N59" i="65"/>
  <c r="N72" i="65" s="1"/>
  <c r="L59" i="65"/>
  <c r="L72" i="65" s="1"/>
  <c r="R56" i="65"/>
  <c r="P56" i="65"/>
  <c r="N56" i="65"/>
  <c r="L56" i="65"/>
  <c r="R55" i="65"/>
  <c r="P55" i="65"/>
  <c r="N55" i="65"/>
  <c r="L55" i="65"/>
  <c r="R54" i="65"/>
  <c r="P54" i="65"/>
  <c r="N54" i="65"/>
  <c r="L54" i="65"/>
  <c r="R53" i="65"/>
  <c r="P53" i="65"/>
  <c r="N53" i="65"/>
  <c r="L53" i="65"/>
  <c r="R52" i="65"/>
  <c r="P52" i="65"/>
  <c r="N52" i="65"/>
  <c r="L52" i="65"/>
  <c r="R51" i="65"/>
  <c r="P51" i="65"/>
  <c r="N51" i="65"/>
  <c r="L51" i="65"/>
  <c r="R50" i="65"/>
  <c r="P50" i="65"/>
  <c r="N50" i="65"/>
  <c r="L50" i="65"/>
  <c r="R49" i="65"/>
  <c r="P49" i="65"/>
  <c r="N49" i="65"/>
  <c r="L49" i="65"/>
  <c r="R48" i="65"/>
  <c r="P48" i="65"/>
  <c r="N48" i="65"/>
  <c r="L48" i="65"/>
  <c r="R47" i="65"/>
  <c r="P47" i="65"/>
  <c r="N47" i="65"/>
  <c r="L47" i="65"/>
  <c r="R46" i="65"/>
  <c r="P46" i="65"/>
  <c r="N46" i="65"/>
  <c r="L46" i="65"/>
  <c r="R45" i="65"/>
  <c r="R57" i="65" s="1"/>
  <c r="P45" i="65"/>
  <c r="P57" i="65" s="1"/>
  <c r="N45" i="65"/>
  <c r="N57" i="65" s="1"/>
  <c r="L45" i="65"/>
  <c r="L57" i="65" s="1"/>
  <c r="J9" i="65"/>
  <c r="C30" i="62" s="1"/>
  <c r="L2" i="65"/>
  <c r="J11" i="65" s="1"/>
  <c r="J30" i="62" s="1"/>
  <c r="R90" i="64"/>
  <c r="P90" i="64"/>
  <c r="N90" i="64"/>
  <c r="L90" i="64"/>
  <c r="R89" i="64"/>
  <c r="P89" i="64"/>
  <c r="N89" i="64"/>
  <c r="L89" i="64"/>
  <c r="R88" i="64"/>
  <c r="P88" i="64"/>
  <c r="N88" i="64"/>
  <c r="L88" i="64"/>
  <c r="R87" i="64"/>
  <c r="P87" i="64"/>
  <c r="N87" i="64"/>
  <c r="L87" i="64"/>
  <c r="R86" i="64"/>
  <c r="P86" i="64"/>
  <c r="N86" i="64"/>
  <c r="L86" i="64"/>
  <c r="R85" i="64"/>
  <c r="P85" i="64"/>
  <c r="N85" i="64"/>
  <c r="L85" i="64"/>
  <c r="R84" i="64"/>
  <c r="P84" i="64"/>
  <c r="N84" i="64"/>
  <c r="L84" i="64"/>
  <c r="R83" i="64"/>
  <c r="P83" i="64"/>
  <c r="N83" i="64"/>
  <c r="L83" i="64"/>
  <c r="R82" i="64"/>
  <c r="P82" i="64"/>
  <c r="N82" i="64"/>
  <c r="L82" i="64"/>
  <c r="R81" i="64"/>
  <c r="P81" i="64"/>
  <c r="N81" i="64"/>
  <c r="L81" i="64"/>
  <c r="R80" i="64"/>
  <c r="P80" i="64"/>
  <c r="N80" i="64"/>
  <c r="L80" i="64"/>
  <c r="R79" i="64"/>
  <c r="P79" i="64"/>
  <c r="N79" i="64"/>
  <c r="L79" i="64"/>
  <c r="R78" i="64"/>
  <c r="P78" i="64"/>
  <c r="N78" i="64"/>
  <c r="L78" i="64"/>
  <c r="R77" i="64"/>
  <c r="P77" i="64"/>
  <c r="N77" i="64"/>
  <c r="L77" i="64"/>
  <c r="R76" i="64"/>
  <c r="P76" i="64"/>
  <c r="N76" i="64"/>
  <c r="L76" i="64"/>
  <c r="R75" i="64"/>
  <c r="P75" i="64"/>
  <c r="N75" i="64"/>
  <c r="L75" i="64"/>
  <c r="R74" i="64"/>
  <c r="R91" i="64" s="1"/>
  <c r="P74" i="64"/>
  <c r="P91" i="64" s="1"/>
  <c r="N74" i="64"/>
  <c r="N91" i="64" s="1"/>
  <c r="L74" i="64"/>
  <c r="L91" i="64" s="1"/>
  <c r="R71" i="64"/>
  <c r="P71" i="64"/>
  <c r="N71" i="64"/>
  <c r="L71" i="64"/>
  <c r="R70" i="64"/>
  <c r="P70" i="64"/>
  <c r="N70" i="64"/>
  <c r="L70" i="64"/>
  <c r="R69" i="64"/>
  <c r="P69" i="64"/>
  <c r="N69" i="64"/>
  <c r="L69" i="64"/>
  <c r="R68" i="64"/>
  <c r="P68" i="64"/>
  <c r="N68" i="64"/>
  <c r="L68" i="64"/>
  <c r="R67" i="64"/>
  <c r="P67" i="64"/>
  <c r="N67" i="64"/>
  <c r="L67" i="64"/>
  <c r="R66" i="64"/>
  <c r="P66" i="64"/>
  <c r="N66" i="64"/>
  <c r="L66" i="64"/>
  <c r="R65" i="64"/>
  <c r="P65" i="64"/>
  <c r="N65" i="64"/>
  <c r="L65" i="64"/>
  <c r="R64" i="64"/>
  <c r="P64" i="64"/>
  <c r="N64" i="64"/>
  <c r="L64" i="64"/>
  <c r="R63" i="64"/>
  <c r="P63" i="64"/>
  <c r="N63" i="64"/>
  <c r="L63" i="64"/>
  <c r="R62" i="64"/>
  <c r="P62" i="64"/>
  <c r="N62" i="64"/>
  <c r="L62" i="64"/>
  <c r="R61" i="64"/>
  <c r="P61" i="64"/>
  <c r="N61" i="64"/>
  <c r="L61" i="64"/>
  <c r="R60" i="64"/>
  <c r="P60" i="64"/>
  <c r="N60" i="64"/>
  <c r="L60" i="64"/>
  <c r="R59" i="64"/>
  <c r="R72" i="64" s="1"/>
  <c r="P59" i="64"/>
  <c r="P72" i="64" s="1"/>
  <c r="N59" i="64"/>
  <c r="N72" i="64" s="1"/>
  <c r="L59" i="64"/>
  <c r="L72" i="64" s="1"/>
  <c r="R56" i="64"/>
  <c r="P56" i="64"/>
  <c r="N56" i="64"/>
  <c r="L56" i="64"/>
  <c r="R55" i="64"/>
  <c r="P55" i="64"/>
  <c r="N55" i="64"/>
  <c r="L55" i="64"/>
  <c r="R54" i="64"/>
  <c r="P54" i="64"/>
  <c r="N54" i="64"/>
  <c r="L54" i="64"/>
  <c r="R53" i="64"/>
  <c r="P53" i="64"/>
  <c r="N53" i="64"/>
  <c r="L53" i="64"/>
  <c r="R52" i="64"/>
  <c r="P52" i="64"/>
  <c r="N52" i="64"/>
  <c r="L52" i="64"/>
  <c r="R51" i="64"/>
  <c r="P51" i="64"/>
  <c r="N51" i="64"/>
  <c r="L51" i="64"/>
  <c r="R50" i="64"/>
  <c r="P50" i="64"/>
  <c r="N50" i="64"/>
  <c r="L50" i="64"/>
  <c r="R49" i="64"/>
  <c r="P49" i="64"/>
  <c r="N49" i="64"/>
  <c r="L49" i="64"/>
  <c r="R48" i="64"/>
  <c r="P48" i="64"/>
  <c r="N48" i="64"/>
  <c r="L48" i="64"/>
  <c r="R47" i="64"/>
  <c r="P47" i="64"/>
  <c r="N47" i="64"/>
  <c r="L47" i="64"/>
  <c r="R46" i="64"/>
  <c r="P46" i="64"/>
  <c r="N46" i="64"/>
  <c r="L46" i="64"/>
  <c r="R45" i="64"/>
  <c r="R57" i="64" s="1"/>
  <c r="P45" i="64"/>
  <c r="P57" i="64" s="1"/>
  <c r="N45" i="64"/>
  <c r="N57" i="64" s="1"/>
  <c r="L45" i="64"/>
  <c r="L57" i="64" s="1"/>
  <c r="J9" i="64"/>
  <c r="Y14" i="62" s="1"/>
  <c r="L2" i="64"/>
  <c r="J11" i="64" s="1"/>
  <c r="AF14" i="62" s="1"/>
  <c r="R90" i="63"/>
  <c r="P90" i="63"/>
  <c r="N90" i="63"/>
  <c r="L90" i="63"/>
  <c r="R89" i="63"/>
  <c r="P89" i="63"/>
  <c r="N89" i="63"/>
  <c r="L89" i="63"/>
  <c r="R88" i="63"/>
  <c r="P88" i="63"/>
  <c r="N88" i="63"/>
  <c r="L88" i="63"/>
  <c r="R87" i="63"/>
  <c r="P87" i="63"/>
  <c r="N87" i="63"/>
  <c r="L87" i="63"/>
  <c r="R86" i="63"/>
  <c r="P86" i="63"/>
  <c r="N86" i="63"/>
  <c r="L86" i="63"/>
  <c r="R85" i="63"/>
  <c r="P85" i="63"/>
  <c r="N85" i="63"/>
  <c r="L85" i="63"/>
  <c r="R84" i="63"/>
  <c r="P84" i="63"/>
  <c r="N84" i="63"/>
  <c r="L84" i="63"/>
  <c r="R83" i="63"/>
  <c r="P83" i="63"/>
  <c r="N83" i="63"/>
  <c r="L83" i="63"/>
  <c r="R82" i="63"/>
  <c r="P82" i="63"/>
  <c r="N82" i="63"/>
  <c r="L82" i="63"/>
  <c r="R81" i="63"/>
  <c r="P81" i="63"/>
  <c r="N81" i="63"/>
  <c r="L81" i="63"/>
  <c r="R80" i="63"/>
  <c r="P80" i="63"/>
  <c r="N80" i="63"/>
  <c r="L80" i="63"/>
  <c r="R79" i="63"/>
  <c r="P79" i="63"/>
  <c r="N79" i="63"/>
  <c r="L79" i="63"/>
  <c r="R78" i="63"/>
  <c r="P78" i="63"/>
  <c r="N78" i="63"/>
  <c r="L78" i="63"/>
  <c r="R77" i="63"/>
  <c r="P77" i="63"/>
  <c r="N77" i="63"/>
  <c r="L77" i="63"/>
  <c r="R76" i="63"/>
  <c r="P76" i="63"/>
  <c r="N76" i="63"/>
  <c r="L76" i="63"/>
  <c r="R75" i="63"/>
  <c r="P75" i="63"/>
  <c r="N75" i="63"/>
  <c r="L75" i="63"/>
  <c r="R74" i="63"/>
  <c r="R91" i="63" s="1"/>
  <c r="P74" i="63"/>
  <c r="P91" i="63" s="1"/>
  <c r="N74" i="63"/>
  <c r="N91" i="63" s="1"/>
  <c r="L74" i="63"/>
  <c r="L91" i="63" s="1"/>
  <c r="R71" i="63"/>
  <c r="P71" i="63"/>
  <c r="N71" i="63"/>
  <c r="L71" i="63"/>
  <c r="R70" i="63"/>
  <c r="P70" i="63"/>
  <c r="N70" i="63"/>
  <c r="L70" i="63"/>
  <c r="R69" i="63"/>
  <c r="P69" i="63"/>
  <c r="N69" i="63"/>
  <c r="L69" i="63"/>
  <c r="R68" i="63"/>
  <c r="P68" i="63"/>
  <c r="N68" i="63"/>
  <c r="L68" i="63"/>
  <c r="R67" i="63"/>
  <c r="P67" i="63"/>
  <c r="N67" i="63"/>
  <c r="L67" i="63"/>
  <c r="R66" i="63"/>
  <c r="P66" i="63"/>
  <c r="N66" i="63"/>
  <c r="L66" i="63"/>
  <c r="R65" i="63"/>
  <c r="P65" i="63"/>
  <c r="N65" i="63"/>
  <c r="L65" i="63"/>
  <c r="R64" i="63"/>
  <c r="P64" i="63"/>
  <c r="N64" i="63"/>
  <c r="L64" i="63"/>
  <c r="R63" i="63"/>
  <c r="P63" i="63"/>
  <c r="N63" i="63"/>
  <c r="L63" i="63"/>
  <c r="R62" i="63"/>
  <c r="P62" i="63"/>
  <c r="N62" i="63"/>
  <c r="L62" i="63"/>
  <c r="R61" i="63"/>
  <c r="P61" i="63"/>
  <c r="N61" i="63"/>
  <c r="L61" i="63"/>
  <c r="R60" i="63"/>
  <c r="P60" i="63"/>
  <c r="N60" i="63"/>
  <c r="L60" i="63"/>
  <c r="R59" i="63"/>
  <c r="R72" i="63" s="1"/>
  <c r="P59" i="63"/>
  <c r="P72" i="63" s="1"/>
  <c r="N59" i="63"/>
  <c r="N72" i="63" s="1"/>
  <c r="L59" i="63"/>
  <c r="L72" i="63" s="1"/>
  <c r="R56" i="63"/>
  <c r="P56" i="63"/>
  <c r="N56" i="63"/>
  <c r="L56" i="63"/>
  <c r="R55" i="63"/>
  <c r="P55" i="63"/>
  <c r="N55" i="63"/>
  <c r="L55" i="63"/>
  <c r="R54" i="63"/>
  <c r="P54" i="63"/>
  <c r="N54" i="63"/>
  <c r="L54" i="63"/>
  <c r="R53" i="63"/>
  <c r="P53" i="63"/>
  <c r="N53" i="63"/>
  <c r="L53" i="63"/>
  <c r="R52" i="63"/>
  <c r="P52" i="63"/>
  <c r="N52" i="63"/>
  <c r="L52" i="63"/>
  <c r="R51" i="63"/>
  <c r="P51" i="63"/>
  <c r="N51" i="63"/>
  <c r="L51" i="63"/>
  <c r="R50" i="63"/>
  <c r="P50" i="63"/>
  <c r="N50" i="63"/>
  <c r="L50" i="63"/>
  <c r="R49" i="63"/>
  <c r="P49" i="63"/>
  <c r="N49" i="63"/>
  <c r="L49" i="63"/>
  <c r="R48" i="63"/>
  <c r="P48" i="63"/>
  <c r="N48" i="63"/>
  <c r="L48" i="63"/>
  <c r="R47" i="63"/>
  <c r="P47" i="63"/>
  <c r="N47" i="63"/>
  <c r="L47" i="63"/>
  <c r="R46" i="63"/>
  <c r="P46" i="63"/>
  <c r="N46" i="63"/>
  <c r="L46" i="63"/>
  <c r="R45" i="63"/>
  <c r="R57" i="63" s="1"/>
  <c r="P45" i="63"/>
  <c r="P57" i="63" s="1"/>
  <c r="N45" i="63"/>
  <c r="N57" i="63" s="1"/>
  <c r="L45" i="63"/>
  <c r="L57" i="63" s="1"/>
  <c r="J9" i="63"/>
  <c r="N14" i="62" s="1"/>
  <c r="L2" i="63"/>
  <c r="J11" i="63" s="1"/>
  <c r="U14" i="62" s="1"/>
  <c r="J9" i="61"/>
  <c r="C14" i="62" s="1"/>
  <c r="R90" i="61"/>
  <c r="R89" i="61"/>
  <c r="R88" i="61"/>
  <c r="R87" i="61"/>
  <c r="R86" i="61"/>
  <c r="R85" i="61"/>
  <c r="R84" i="61"/>
  <c r="R83" i="61"/>
  <c r="R82" i="61"/>
  <c r="R81" i="61"/>
  <c r="R80" i="61"/>
  <c r="R79" i="61"/>
  <c r="R78" i="61"/>
  <c r="R77" i="61"/>
  <c r="R76" i="61"/>
  <c r="R91" i="61" s="1"/>
  <c r="R75" i="61"/>
  <c r="R74" i="61"/>
  <c r="P90" i="61"/>
  <c r="P89" i="61"/>
  <c r="P88" i="61"/>
  <c r="P87" i="61"/>
  <c r="P86" i="61"/>
  <c r="P85" i="61"/>
  <c r="P84" i="61"/>
  <c r="P83" i="61"/>
  <c r="P82" i="61"/>
  <c r="P81" i="61"/>
  <c r="P80" i="61"/>
  <c r="P79" i="61"/>
  <c r="P78" i="61"/>
  <c r="P77" i="61"/>
  <c r="P76" i="61"/>
  <c r="P75" i="61"/>
  <c r="P74" i="61"/>
  <c r="N90" i="61"/>
  <c r="N89" i="61"/>
  <c r="N88" i="61"/>
  <c r="N87" i="61"/>
  <c r="N86" i="61"/>
  <c r="N85" i="61"/>
  <c r="N84" i="61"/>
  <c r="N83" i="61"/>
  <c r="N82" i="61"/>
  <c r="N81" i="61"/>
  <c r="N80" i="61"/>
  <c r="N79" i="61"/>
  <c r="N78" i="61"/>
  <c r="N77" i="61"/>
  <c r="N76" i="61"/>
  <c r="N75" i="61"/>
  <c r="N74" i="61"/>
  <c r="L90" i="61"/>
  <c r="L89" i="61"/>
  <c r="L88" i="61"/>
  <c r="L87" i="61"/>
  <c r="L86" i="61"/>
  <c r="L85" i="61"/>
  <c r="L84" i="61"/>
  <c r="L83" i="61"/>
  <c r="L82" i="61"/>
  <c r="L81" i="61"/>
  <c r="L80" i="61"/>
  <c r="L79" i="61"/>
  <c r="L78" i="61"/>
  <c r="L77" i="61"/>
  <c r="L76" i="61"/>
  <c r="L75" i="61"/>
  <c r="L74" i="61"/>
  <c r="R71" i="61"/>
  <c r="R70" i="61"/>
  <c r="R69" i="61"/>
  <c r="R68" i="61"/>
  <c r="R67" i="61"/>
  <c r="R66" i="61"/>
  <c r="R65" i="61"/>
  <c r="R64" i="61"/>
  <c r="R63" i="61"/>
  <c r="R62" i="61"/>
  <c r="R61" i="61"/>
  <c r="R60" i="61"/>
  <c r="R59" i="61"/>
  <c r="P71" i="61"/>
  <c r="P70" i="61"/>
  <c r="P69" i="61"/>
  <c r="P68" i="61"/>
  <c r="P67" i="61"/>
  <c r="P66" i="61"/>
  <c r="P65" i="61"/>
  <c r="P64" i="61"/>
  <c r="P63" i="61"/>
  <c r="P62" i="61"/>
  <c r="P61" i="61"/>
  <c r="P60" i="61"/>
  <c r="P59" i="61"/>
  <c r="N71" i="61"/>
  <c r="N70" i="61"/>
  <c r="N69" i="61"/>
  <c r="N68" i="61"/>
  <c r="N67" i="61"/>
  <c r="N66" i="61"/>
  <c r="N65" i="61"/>
  <c r="N64" i="61"/>
  <c r="N63" i="61"/>
  <c r="N62" i="61"/>
  <c r="N61" i="61"/>
  <c r="N60" i="61"/>
  <c r="N59" i="61"/>
  <c r="L71" i="61"/>
  <c r="L70" i="61"/>
  <c r="L69" i="61"/>
  <c r="L68" i="61"/>
  <c r="L67" i="61"/>
  <c r="L66" i="61"/>
  <c r="L65" i="61"/>
  <c r="L64" i="61"/>
  <c r="L63" i="61"/>
  <c r="L62" i="61"/>
  <c r="L61" i="61"/>
  <c r="L60" i="61"/>
  <c r="L59" i="61"/>
  <c r="R56" i="61"/>
  <c r="R55" i="61"/>
  <c r="R54" i="61"/>
  <c r="R53" i="61"/>
  <c r="R52" i="61"/>
  <c r="R51" i="61"/>
  <c r="R50" i="61"/>
  <c r="R49" i="61"/>
  <c r="R48" i="61"/>
  <c r="R47" i="61"/>
  <c r="R46" i="61"/>
  <c r="R45" i="61"/>
  <c r="P56" i="61"/>
  <c r="P55" i="61"/>
  <c r="P54" i="61"/>
  <c r="P53" i="61"/>
  <c r="P52" i="61"/>
  <c r="P51" i="61"/>
  <c r="P50" i="61"/>
  <c r="P49" i="61"/>
  <c r="P48" i="61"/>
  <c r="P47" i="61"/>
  <c r="P46" i="61"/>
  <c r="P45" i="61"/>
  <c r="N56" i="61"/>
  <c r="L56" i="61"/>
  <c r="N55" i="61"/>
  <c r="N54" i="61"/>
  <c r="N53" i="61"/>
  <c r="N52" i="61"/>
  <c r="N51" i="61"/>
  <c r="N50" i="61"/>
  <c r="N49" i="61"/>
  <c r="N48" i="61"/>
  <c r="N47" i="61"/>
  <c r="N46" i="61"/>
  <c r="N45" i="61"/>
  <c r="L45" i="61"/>
  <c r="L55" i="61"/>
  <c r="L54" i="61"/>
  <c r="L53" i="61"/>
  <c r="L52" i="61"/>
  <c r="L51" i="61"/>
  <c r="L50" i="61"/>
  <c r="L49" i="61"/>
  <c r="L48" i="61"/>
  <c r="L47" i="61"/>
  <c r="L46" i="61"/>
  <c r="L2" i="61"/>
  <c r="D9" i="61" s="1"/>
  <c r="C6" i="62" s="1"/>
  <c r="F37" i="34"/>
  <c r="F45" i="71" l="1"/>
  <c r="F13" i="71" s="1"/>
  <c r="G45" i="71"/>
  <c r="F24" i="71" s="1"/>
  <c r="U2" i="62"/>
  <c r="AF2" i="62"/>
  <c r="J18" i="62"/>
  <c r="U18" i="62"/>
  <c r="AF18" i="62"/>
  <c r="J34" i="62"/>
  <c r="U34" i="62"/>
  <c r="J2" i="62"/>
  <c r="J11" i="69"/>
  <c r="AF46" i="62" s="1"/>
  <c r="AF34" i="62"/>
  <c r="D9" i="70"/>
  <c r="N38" i="62" s="1"/>
  <c r="D11" i="70"/>
  <c r="R38" i="62" s="1"/>
  <c r="D13" i="70"/>
  <c r="D9" i="69"/>
  <c r="Y38" i="62" s="1"/>
  <c r="D11" i="69"/>
  <c r="AC38" i="62" s="1"/>
  <c r="D13" i="69"/>
  <c r="AA38" i="62" s="1"/>
  <c r="D9" i="68"/>
  <c r="C38" i="62" s="1"/>
  <c r="D11" i="68"/>
  <c r="G38" i="62" s="1"/>
  <c r="D13" i="68"/>
  <c r="D9" i="67"/>
  <c r="Y22" i="62" s="1"/>
  <c r="D11" i="67"/>
  <c r="AC22" i="62" s="1"/>
  <c r="D13" i="67"/>
  <c r="D9" i="66"/>
  <c r="N22" i="62" s="1"/>
  <c r="D11" i="66"/>
  <c r="R22" i="62" s="1"/>
  <c r="D13" i="66"/>
  <c r="D9" i="65"/>
  <c r="C22" i="62" s="1"/>
  <c r="D11" i="65"/>
  <c r="G22" i="62" s="1"/>
  <c r="D13" i="65"/>
  <c r="D9" i="64"/>
  <c r="Y6" i="62" s="1"/>
  <c r="D11" i="64"/>
  <c r="AC6" i="62" s="1"/>
  <c r="D13" i="64"/>
  <c r="D9" i="63"/>
  <c r="N6" i="62" s="1"/>
  <c r="D11" i="63"/>
  <c r="R6" i="62" s="1"/>
  <c r="D13" i="63"/>
  <c r="K2" i="62"/>
  <c r="N91" i="61"/>
  <c r="N72" i="61"/>
  <c r="R72" i="61"/>
  <c r="L91" i="61"/>
  <c r="P91" i="61"/>
  <c r="P72" i="61"/>
  <c r="L72" i="61"/>
  <c r="R57" i="61"/>
  <c r="L57" i="61"/>
  <c r="N57" i="61"/>
  <c r="P57" i="61"/>
  <c r="F342" i="34"/>
  <c r="O315" i="34"/>
  <c r="F315" i="34"/>
  <c r="O288" i="34"/>
  <c r="F288" i="34"/>
  <c r="O261" i="34"/>
  <c r="F261" i="34"/>
  <c r="O234" i="34"/>
  <c r="F234" i="34"/>
  <c r="O207" i="34"/>
  <c r="F207" i="34"/>
  <c r="O180" i="34"/>
  <c r="F180" i="34"/>
  <c r="O153" i="34"/>
  <c r="F153" i="34"/>
  <c r="O126" i="34"/>
  <c r="F126" i="34"/>
  <c r="O99" i="34"/>
  <c r="F99" i="34"/>
  <c r="O72" i="34"/>
  <c r="F72" i="34"/>
  <c r="O45" i="34"/>
  <c r="B49" i="34"/>
  <c r="F45" i="34"/>
  <c r="F43" i="34"/>
  <c r="F41" i="34"/>
  <c r="F39" i="34"/>
  <c r="D29" i="34"/>
  <c r="F18" i="34"/>
  <c r="O18" i="34"/>
  <c r="D326" i="34"/>
  <c r="M299" i="34"/>
  <c r="D299" i="34"/>
  <c r="M272" i="34"/>
  <c r="D272" i="34"/>
  <c r="M245" i="34"/>
  <c r="D245" i="34"/>
  <c r="M218" i="34"/>
  <c r="D218" i="34"/>
  <c r="M191" i="34"/>
  <c r="D191" i="34"/>
  <c r="M164" i="34"/>
  <c r="D164" i="34"/>
  <c r="M137" i="34"/>
  <c r="D137" i="34"/>
  <c r="M110" i="34"/>
  <c r="D110" i="34"/>
  <c r="M83" i="34"/>
  <c r="D83" i="34"/>
  <c r="M56" i="34"/>
  <c r="D56" i="34"/>
  <c r="M29" i="34"/>
  <c r="M2" i="34"/>
  <c r="D2" i="34"/>
  <c r="L8" i="5"/>
  <c r="E26" i="19"/>
  <c r="E25" i="19"/>
  <c r="E24" i="19"/>
  <c r="E23" i="19"/>
  <c r="E22" i="19"/>
  <c r="E21" i="19"/>
  <c r="E20" i="19"/>
  <c r="E19" i="19"/>
  <c r="E18" i="19"/>
  <c r="E17" i="19"/>
  <c r="E16" i="19"/>
  <c r="E15" i="19"/>
  <c r="E14" i="19"/>
  <c r="E13" i="19"/>
  <c r="E12" i="19"/>
  <c r="E11" i="19"/>
  <c r="E10" i="19"/>
  <c r="E9" i="19"/>
  <c r="E8" i="19"/>
  <c r="E7" i="19"/>
  <c r="E6" i="19"/>
  <c r="E5" i="19"/>
  <c r="E4" i="19"/>
  <c r="E3" i="19"/>
  <c r="D26" i="19"/>
  <c r="D25" i="19"/>
  <c r="D24" i="19"/>
  <c r="D23" i="19"/>
  <c r="D22" i="19"/>
  <c r="D21" i="19"/>
  <c r="D20" i="19"/>
  <c r="D19" i="19"/>
  <c r="D18" i="19"/>
  <c r="D17" i="19"/>
  <c r="D16" i="19"/>
  <c r="D15" i="19"/>
  <c r="D14" i="19"/>
  <c r="D13" i="19"/>
  <c r="D12" i="19"/>
  <c r="D11" i="19"/>
  <c r="D10" i="19"/>
  <c r="D9" i="19"/>
  <c r="D8" i="19"/>
  <c r="D7" i="19"/>
  <c r="D6" i="19"/>
  <c r="D5" i="19"/>
  <c r="D4" i="19"/>
  <c r="D3" i="19"/>
  <c r="C26" i="19"/>
  <c r="C25" i="19"/>
  <c r="C24" i="19"/>
  <c r="C23" i="19"/>
  <c r="C22" i="19"/>
  <c r="C21" i="19"/>
  <c r="C20" i="19"/>
  <c r="C19" i="19"/>
  <c r="C18" i="19"/>
  <c r="C17" i="19"/>
  <c r="C16" i="19"/>
  <c r="C15" i="19"/>
  <c r="C14" i="19"/>
  <c r="C13" i="19"/>
  <c r="C12" i="19"/>
  <c r="C11" i="19"/>
  <c r="C10" i="19"/>
  <c r="C9" i="19"/>
  <c r="C8" i="19"/>
  <c r="C7" i="19"/>
  <c r="C6" i="19"/>
  <c r="C5" i="19"/>
  <c r="C4" i="19"/>
  <c r="C3" i="19"/>
  <c r="B346" i="34"/>
  <c r="F340" i="34"/>
  <c r="F338" i="34"/>
  <c r="F336" i="34"/>
  <c r="F334" i="34"/>
  <c r="K319" i="34"/>
  <c r="O313" i="34"/>
  <c r="O311" i="34"/>
  <c r="O309" i="34"/>
  <c r="O307" i="34"/>
  <c r="B319" i="34"/>
  <c r="F313" i="34"/>
  <c r="F311" i="34"/>
  <c r="F309" i="34"/>
  <c r="F307" i="34"/>
  <c r="K292" i="34"/>
  <c r="O286" i="34"/>
  <c r="O284" i="34"/>
  <c r="O282" i="34"/>
  <c r="O280" i="34"/>
  <c r="B292" i="34"/>
  <c r="F286" i="34"/>
  <c r="F284" i="34"/>
  <c r="F282" i="34"/>
  <c r="F280" i="34"/>
  <c r="K265" i="34"/>
  <c r="O259" i="34"/>
  <c r="O257" i="34"/>
  <c r="O255" i="34"/>
  <c r="O253" i="34"/>
  <c r="B265" i="34"/>
  <c r="F259" i="34"/>
  <c r="F257" i="34"/>
  <c r="F255" i="34"/>
  <c r="F253" i="34"/>
  <c r="K238" i="34"/>
  <c r="O232" i="34"/>
  <c r="O230" i="34"/>
  <c r="O228" i="34"/>
  <c r="O226" i="34"/>
  <c r="B238" i="34"/>
  <c r="F232" i="34"/>
  <c r="F230" i="34"/>
  <c r="F228" i="34"/>
  <c r="F226" i="34"/>
  <c r="K211" i="34"/>
  <c r="O205" i="34"/>
  <c r="O203" i="34"/>
  <c r="O201" i="34"/>
  <c r="O199" i="34"/>
  <c r="B211" i="34"/>
  <c r="F205" i="34"/>
  <c r="F203" i="34"/>
  <c r="F201" i="34"/>
  <c r="F199" i="34"/>
  <c r="K184" i="34"/>
  <c r="O178" i="34"/>
  <c r="O176" i="34"/>
  <c r="O174" i="34"/>
  <c r="O172" i="34"/>
  <c r="B184" i="34"/>
  <c r="F178" i="34"/>
  <c r="F176" i="34"/>
  <c r="F174" i="34"/>
  <c r="F172" i="34"/>
  <c r="K157" i="34"/>
  <c r="O151" i="34"/>
  <c r="O149" i="34"/>
  <c r="O147" i="34"/>
  <c r="O145" i="34"/>
  <c r="B157" i="34"/>
  <c r="F151" i="34"/>
  <c r="F149" i="34"/>
  <c r="F147" i="34"/>
  <c r="F145" i="34"/>
  <c r="K130" i="34"/>
  <c r="O124" i="34"/>
  <c r="O122" i="34"/>
  <c r="O120" i="34"/>
  <c r="O118" i="34"/>
  <c r="B130" i="34"/>
  <c r="F124" i="34"/>
  <c r="F122" i="34"/>
  <c r="F120" i="34"/>
  <c r="F118" i="34"/>
  <c r="K103" i="34"/>
  <c r="O97" i="34"/>
  <c r="O95" i="34"/>
  <c r="O93" i="34"/>
  <c r="O91" i="34"/>
  <c r="B103" i="34"/>
  <c r="F97" i="34"/>
  <c r="F95" i="34"/>
  <c r="F93" i="34"/>
  <c r="F91" i="34"/>
  <c r="K76" i="34"/>
  <c r="O70" i="34"/>
  <c r="O68" i="34"/>
  <c r="O66" i="34"/>
  <c r="O64" i="34"/>
  <c r="B76" i="34"/>
  <c r="F70" i="34"/>
  <c r="F68" i="34"/>
  <c r="F66" i="34"/>
  <c r="F64" i="34"/>
  <c r="K49" i="34"/>
  <c r="O43" i="34"/>
  <c r="O41" i="34"/>
  <c r="O39" i="34"/>
  <c r="O37" i="34"/>
  <c r="K22" i="34"/>
  <c r="O16" i="34"/>
  <c r="O14" i="34"/>
  <c r="O12" i="34"/>
  <c r="O10" i="34"/>
  <c r="D342" i="34"/>
  <c r="D340" i="34"/>
  <c r="D338" i="34"/>
  <c r="D336" i="34"/>
  <c r="D332" i="34"/>
  <c r="D330" i="34"/>
  <c r="D328" i="34"/>
  <c r="M315" i="34"/>
  <c r="M313" i="34"/>
  <c r="M311" i="34"/>
  <c r="M309" i="34"/>
  <c r="M305" i="34"/>
  <c r="M303" i="34"/>
  <c r="M301" i="34"/>
  <c r="D315" i="34"/>
  <c r="D313" i="34"/>
  <c r="D311" i="34"/>
  <c r="D309" i="34"/>
  <c r="D305" i="34"/>
  <c r="D303" i="34"/>
  <c r="D301" i="34"/>
  <c r="M288" i="34"/>
  <c r="M286" i="34"/>
  <c r="M284" i="34"/>
  <c r="M282" i="34"/>
  <c r="M278" i="34"/>
  <c r="M276" i="34"/>
  <c r="M274" i="34"/>
  <c r="D288" i="34"/>
  <c r="D286" i="34"/>
  <c r="D284" i="34"/>
  <c r="D282" i="34"/>
  <c r="D278" i="34"/>
  <c r="D276" i="34"/>
  <c r="D274" i="34"/>
  <c r="M261" i="34"/>
  <c r="M259" i="34"/>
  <c r="M257" i="34"/>
  <c r="M255" i="34"/>
  <c r="M251" i="34"/>
  <c r="M249" i="34"/>
  <c r="M247" i="34"/>
  <c r="D261" i="34"/>
  <c r="D257" i="34"/>
  <c r="D249" i="34"/>
  <c r="M234" i="34"/>
  <c r="M230" i="34"/>
  <c r="M222" i="34"/>
  <c r="D234" i="34"/>
  <c r="D230" i="34"/>
  <c r="D222" i="34"/>
  <c r="D207" i="34"/>
  <c r="D203" i="34"/>
  <c r="D195" i="34"/>
  <c r="M180" i="34"/>
  <c r="M176" i="34"/>
  <c r="M168" i="34"/>
  <c r="M153" i="34"/>
  <c r="M149" i="34"/>
  <c r="M141" i="34"/>
  <c r="D153" i="34"/>
  <c r="D149" i="34"/>
  <c r="D141" i="34"/>
  <c r="M126" i="34"/>
  <c r="M122" i="34"/>
  <c r="M114" i="34"/>
  <c r="D99" i="34"/>
  <c r="D95" i="34"/>
  <c r="D87" i="34"/>
  <c r="M72" i="34"/>
  <c r="M68" i="34"/>
  <c r="M60" i="34"/>
  <c r="D72" i="34"/>
  <c r="D68" i="34"/>
  <c r="D60" i="34"/>
  <c r="M45" i="34"/>
  <c r="M41" i="34"/>
  <c r="M33" i="34"/>
  <c r="D45" i="34"/>
  <c r="D41" i="34"/>
  <c r="D33" i="34"/>
  <c r="M18" i="34"/>
  <c r="M6" i="34"/>
  <c r="BB65" i="35"/>
  <c r="BF64" i="35"/>
  <c r="BE64" i="35"/>
  <c r="BD64" i="35"/>
  <c r="BC64" i="35"/>
  <c r="BB64" i="35"/>
  <c r="BA64" i="35"/>
  <c r="AZ64" i="35"/>
  <c r="AY64" i="35"/>
  <c r="AX64" i="35"/>
  <c r="AW64" i="35"/>
  <c r="BB63" i="35"/>
  <c r="BF62" i="35"/>
  <c r="BE62" i="35"/>
  <c r="BD62" i="35"/>
  <c r="BC62" i="35"/>
  <c r="BB62" i="35"/>
  <c r="BA62" i="35"/>
  <c r="AZ62" i="35"/>
  <c r="AY62" i="35"/>
  <c r="AX62" i="35"/>
  <c r="AW62" i="35"/>
  <c r="BB61" i="35"/>
  <c r="BF60" i="35"/>
  <c r="BE60" i="35"/>
  <c r="BD60" i="35"/>
  <c r="BC60" i="35"/>
  <c r="BB60" i="35"/>
  <c r="BA60" i="35"/>
  <c r="AZ60" i="35"/>
  <c r="AY60" i="35"/>
  <c r="AX60" i="35"/>
  <c r="AW60" i="35"/>
  <c r="BB59" i="35"/>
  <c r="BF58" i="35"/>
  <c r="BE58" i="35"/>
  <c r="BD58" i="35"/>
  <c r="BC58" i="35"/>
  <c r="BB58" i="35"/>
  <c r="BA58" i="35"/>
  <c r="AZ58" i="35"/>
  <c r="AY58" i="35"/>
  <c r="AX58" i="35"/>
  <c r="AW58" i="35"/>
  <c r="BB57" i="35"/>
  <c r="BF56" i="35"/>
  <c r="BE56" i="35"/>
  <c r="BD56" i="35"/>
  <c r="BC56" i="35"/>
  <c r="BB56" i="35"/>
  <c r="BA56" i="35"/>
  <c r="AZ56" i="35"/>
  <c r="AY56" i="35"/>
  <c r="AX56" i="35"/>
  <c r="AW56" i="35"/>
  <c r="BB55" i="35"/>
  <c r="BF54" i="35"/>
  <c r="BE54" i="35"/>
  <c r="BD54" i="35"/>
  <c r="BC54" i="35"/>
  <c r="BB54" i="35"/>
  <c r="BA54" i="35"/>
  <c r="AZ54" i="35"/>
  <c r="AY54" i="35"/>
  <c r="AX54" i="35"/>
  <c r="AW54" i="35"/>
  <c r="BB53" i="35"/>
  <c r="J4" i="5"/>
  <c r="R26" i="4"/>
  <c r="Q26" i="4"/>
  <c r="P26" i="4"/>
  <c r="F12" i="34"/>
  <c r="F14" i="34"/>
  <c r="F16" i="34"/>
  <c r="F10" i="34"/>
  <c r="B22" i="34"/>
  <c r="E2" i="19"/>
  <c r="D2" i="19"/>
  <c r="C2" i="19"/>
  <c r="B26" i="19"/>
  <c r="B25" i="19"/>
  <c r="B24" i="19"/>
  <c r="B23" i="19"/>
  <c r="B22" i="19"/>
  <c r="B21" i="19"/>
  <c r="B20" i="19"/>
  <c r="B19" i="19"/>
  <c r="B18" i="19"/>
  <c r="B17" i="19"/>
  <c r="B16" i="19"/>
  <c r="B15" i="19"/>
  <c r="B14" i="19"/>
  <c r="B13" i="19"/>
  <c r="B12" i="19"/>
  <c r="B11" i="19"/>
  <c r="B10" i="19"/>
  <c r="B9" i="19"/>
  <c r="B8" i="19"/>
  <c r="B7" i="19"/>
  <c r="B6" i="19"/>
  <c r="B5" i="19"/>
  <c r="B4" i="19"/>
  <c r="B3" i="19"/>
  <c r="B2" i="19"/>
  <c r="BB49" i="35"/>
  <c r="BB38" i="35"/>
  <c r="BB37" i="35"/>
  <c r="BB36" i="35"/>
  <c r="BB35" i="35"/>
  <c r="BB34" i="35"/>
  <c r="BB33" i="35"/>
  <c r="BB32" i="35"/>
  <c r="BB31" i="35"/>
  <c r="BB30" i="35"/>
  <c r="BB29" i="35"/>
  <c r="BB28" i="35"/>
  <c r="BB27" i="35"/>
  <c r="BB26" i="35"/>
  <c r="BB25" i="35"/>
  <c r="BB24" i="35"/>
  <c r="BB23" i="35"/>
  <c r="BB22" i="35"/>
  <c r="BB21" i="35"/>
  <c r="BB20" i="35"/>
  <c r="BB19" i="35"/>
  <c r="BB18" i="35"/>
  <c r="BB17" i="35"/>
  <c r="BB16" i="35"/>
  <c r="BB15" i="35"/>
  <c r="BB14" i="35"/>
  <c r="BB13" i="35"/>
  <c r="BB12" i="35"/>
  <c r="BB11" i="35"/>
  <c r="BB10" i="35"/>
  <c r="BF38" i="35"/>
  <c r="BE38" i="35"/>
  <c r="BD38" i="35"/>
  <c r="BC38" i="35"/>
  <c r="BA38" i="35"/>
  <c r="AZ38" i="35"/>
  <c r="AY38" i="35"/>
  <c r="AX38" i="35"/>
  <c r="BF36" i="35"/>
  <c r="BE36" i="35"/>
  <c r="BD36" i="35"/>
  <c r="BC36" i="35"/>
  <c r="BA36" i="35"/>
  <c r="AZ36" i="35"/>
  <c r="AY36" i="35"/>
  <c r="AX36" i="35"/>
  <c r="BF34" i="35"/>
  <c r="BE34" i="35"/>
  <c r="BD34" i="35"/>
  <c r="BC34" i="35"/>
  <c r="BA34" i="35"/>
  <c r="AZ34" i="35"/>
  <c r="AY34" i="35"/>
  <c r="AX34" i="35"/>
  <c r="BF32" i="35"/>
  <c r="BE32" i="35"/>
  <c r="BD32" i="35"/>
  <c r="BC32" i="35"/>
  <c r="BA32" i="35"/>
  <c r="AZ32" i="35"/>
  <c r="AY32" i="35"/>
  <c r="AX32" i="35"/>
  <c r="BF30" i="35"/>
  <c r="BE30" i="35"/>
  <c r="BD30" i="35"/>
  <c r="BC30" i="35"/>
  <c r="BA30" i="35"/>
  <c r="AZ30" i="35"/>
  <c r="AY30" i="35"/>
  <c r="AX30" i="35"/>
  <c r="BF28" i="35"/>
  <c r="BE28" i="35"/>
  <c r="BD28" i="35"/>
  <c r="BC28" i="35"/>
  <c r="BA28" i="35"/>
  <c r="AZ28" i="35"/>
  <c r="AY28" i="35"/>
  <c r="AX28" i="35"/>
  <c r="BF26" i="35"/>
  <c r="BE26" i="35"/>
  <c r="BD26" i="35"/>
  <c r="BC26" i="35"/>
  <c r="BA26" i="35"/>
  <c r="AZ26" i="35"/>
  <c r="AY26" i="35"/>
  <c r="AX26" i="35"/>
  <c r="BF24" i="35"/>
  <c r="BE24" i="35"/>
  <c r="BD24" i="35"/>
  <c r="BC24" i="35"/>
  <c r="BA24" i="35"/>
  <c r="AZ24" i="35"/>
  <c r="AY24" i="35"/>
  <c r="AX24" i="35"/>
  <c r="BF22" i="35"/>
  <c r="BE22" i="35"/>
  <c r="BD22" i="35"/>
  <c r="BC22" i="35"/>
  <c r="BA22" i="35"/>
  <c r="AZ22" i="35"/>
  <c r="AY22" i="35"/>
  <c r="AX22" i="35"/>
  <c r="BF20" i="35"/>
  <c r="BE20" i="35"/>
  <c r="BD20" i="35"/>
  <c r="BC20" i="35"/>
  <c r="BA20" i="35"/>
  <c r="AZ20" i="35"/>
  <c r="AY20" i="35"/>
  <c r="AX20" i="35"/>
  <c r="BF18" i="35"/>
  <c r="BE18" i="35"/>
  <c r="BD18" i="35"/>
  <c r="BC18" i="35"/>
  <c r="BA18" i="35"/>
  <c r="AZ18" i="35"/>
  <c r="AY18" i="35"/>
  <c r="AX18" i="35"/>
  <c r="BF16" i="35"/>
  <c r="BE16" i="35"/>
  <c r="BD16" i="35"/>
  <c r="BC16" i="35"/>
  <c r="BA16" i="35"/>
  <c r="AZ16" i="35"/>
  <c r="AY16" i="35"/>
  <c r="AX16" i="35"/>
  <c r="BF14" i="35"/>
  <c r="BE14" i="35"/>
  <c r="BD14" i="35"/>
  <c r="BC14" i="35"/>
  <c r="BA14" i="35"/>
  <c r="AZ14" i="35"/>
  <c r="AY14" i="35"/>
  <c r="AX14" i="35"/>
  <c r="BF12" i="35"/>
  <c r="BE12" i="35"/>
  <c r="BD12" i="35"/>
  <c r="BC12" i="35"/>
  <c r="BA12" i="35"/>
  <c r="AZ12" i="35"/>
  <c r="AY12" i="35"/>
  <c r="AX12" i="35"/>
  <c r="BF10" i="35"/>
  <c r="BE10" i="35"/>
  <c r="BD10" i="35"/>
  <c r="BC10" i="35"/>
  <c r="BA10" i="35"/>
  <c r="AZ10" i="35"/>
  <c r="AY10" i="35"/>
  <c r="AX10" i="35"/>
  <c r="AW38" i="35"/>
  <c r="AW36" i="35"/>
  <c r="AW34" i="35"/>
  <c r="AW32" i="35"/>
  <c r="AW30" i="35"/>
  <c r="AW28" i="35"/>
  <c r="AW26" i="35"/>
  <c r="AW24" i="35"/>
  <c r="AW22" i="35"/>
  <c r="AW20" i="35"/>
  <c r="AW18" i="35"/>
  <c r="AW16" i="35"/>
  <c r="AW14" i="35"/>
  <c r="AW12" i="35"/>
  <c r="AW10" i="35"/>
  <c r="P18" i="4"/>
  <c r="Q18" i="4"/>
  <c r="R18" i="4"/>
  <c r="P20" i="4"/>
  <c r="Q20" i="4"/>
  <c r="R20" i="4"/>
  <c r="P22" i="4"/>
  <c r="Q22" i="4"/>
  <c r="R22" i="4"/>
  <c r="P24" i="4"/>
  <c r="Q24" i="4"/>
  <c r="R24" i="4"/>
  <c r="J8" i="5"/>
  <c r="P8" i="5"/>
  <c r="J10" i="5"/>
  <c r="L10" i="5"/>
  <c r="P10" i="5"/>
  <c r="J12" i="5"/>
  <c r="L12" i="5"/>
  <c r="P12" i="5"/>
  <c r="N30" i="5"/>
  <c r="P36" i="5"/>
  <c r="T12" i="5" s="1"/>
  <c r="R38" i="5"/>
  <c r="H8" i="5" s="1"/>
  <c r="T40" i="5"/>
  <c r="T10" i="5" s="1"/>
  <c r="B54" i="5" l="1"/>
  <c r="B50" i="5"/>
  <c r="B46" i="5"/>
  <c r="B52" i="5"/>
  <c r="B48" i="5"/>
  <c r="D13" i="61"/>
  <c r="L16" i="71"/>
  <c r="E5" i="71" s="1"/>
  <c r="F19" i="71"/>
  <c r="E8" i="71" s="1"/>
  <c r="D6" i="4"/>
  <c r="D8" i="4"/>
  <c r="N12" i="5" s="1"/>
  <c r="D4" i="4"/>
  <c r="N8" i="5" s="1"/>
  <c r="AX66" i="35"/>
  <c r="D6" i="35" s="1"/>
  <c r="D6" i="34" s="1"/>
  <c r="AZ66" i="35"/>
  <c r="BC66" i="35"/>
  <c r="AJ2" i="35" s="1"/>
  <c r="D12" i="34" s="1"/>
  <c r="BE66" i="35"/>
  <c r="T52" i="35" s="1"/>
  <c r="BB66" i="35"/>
  <c r="AY66" i="35"/>
  <c r="T4" i="35" s="1"/>
  <c r="BA66" i="35"/>
  <c r="BD66" i="35"/>
  <c r="D52" i="35" s="1"/>
  <c r="D14" i="34" s="1"/>
  <c r="BF66" i="35"/>
  <c r="AJ52" i="35" s="1"/>
  <c r="D18" i="34" s="1"/>
  <c r="AW66" i="35"/>
  <c r="M8" i="34"/>
  <c r="M12" i="34"/>
  <c r="D31" i="34"/>
  <c r="D35" i="34"/>
  <c r="D39" i="34"/>
  <c r="D43" i="34"/>
  <c r="M31" i="34"/>
  <c r="M35" i="34"/>
  <c r="M39" i="34"/>
  <c r="M43" i="34"/>
  <c r="D58" i="34"/>
  <c r="D62" i="34"/>
  <c r="D66" i="34"/>
  <c r="D70" i="34"/>
  <c r="M58" i="34"/>
  <c r="M62" i="34"/>
  <c r="M66" i="34"/>
  <c r="M70" i="34"/>
  <c r="D85" i="34"/>
  <c r="D89" i="34"/>
  <c r="D93" i="34"/>
  <c r="D97" i="34"/>
  <c r="M85" i="34"/>
  <c r="M89" i="34"/>
  <c r="M93" i="34"/>
  <c r="M97" i="34"/>
  <c r="M87" i="34"/>
  <c r="M95" i="34"/>
  <c r="M99" i="34"/>
  <c r="D112" i="34"/>
  <c r="D116" i="34"/>
  <c r="D120" i="34"/>
  <c r="D124" i="34"/>
  <c r="D114" i="34"/>
  <c r="D122" i="34"/>
  <c r="D126" i="34"/>
  <c r="M112" i="34"/>
  <c r="M116" i="34"/>
  <c r="M120" i="34"/>
  <c r="M124" i="34"/>
  <c r="D139" i="34"/>
  <c r="D143" i="34"/>
  <c r="D147" i="34"/>
  <c r="D151" i="34"/>
  <c r="M139" i="34"/>
  <c r="M143" i="34"/>
  <c r="M147" i="34"/>
  <c r="M151" i="34"/>
  <c r="D166" i="34"/>
  <c r="D170" i="34"/>
  <c r="D174" i="34"/>
  <c r="D178" i="34"/>
  <c r="F14" i="19"/>
  <c r="D168" i="34"/>
  <c r="D176" i="34"/>
  <c r="D180" i="34"/>
  <c r="M166" i="34"/>
  <c r="M170" i="34"/>
  <c r="M174" i="34"/>
  <c r="M178" i="34"/>
  <c r="D193" i="34"/>
  <c r="D197" i="34"/>
  <c r="D201" i="34"/>
  <c r="D205" i="34"/>
  <c r="M193" i="34"/>
  <c r="M197" i="34"/>
  <c r="M201" i="34"/>
  <c r="M205" i="34"/>
  <c r="F17" i="19"/>
  <c r="M195" i="34"/>
  <c r="M203" i="34"/>
  <c r="M207" i="34"/>
  <c r="D220" i="34"/>
  <c r="D224" i="34"/>
  <c r="D228" i="34"/>
  <c r="D232" i="34"/>
  <c r="M220" i="34"/>
  <c r="M224" i="34"/>
  <c r="M228" i="34"/>
  <c r="M232" i="34"/>
  <c r="D247" i="34"/>
  <c r="D251" i="34"/>
  <c r="D255" i="34"/>
  <c r="D259" i="34"/>
  <c r="M4" i="34"/>
  <c r="M16" i="34"/>
  <c r="M14" i="34"/>
  <c r="P4" i="5"/>
  <c r="J11" i="61"/>
  <c r="C52" i="62" s="1"/>
  <c r="C61" i="62" s="1"/>
  <c r="D11" i="61"/>
  <c r="G6" i="62" s="1"/>
  <c r="F26" i="19"/>
  <c r="H328" i="34"/>
  <c r="F25" i="19"/>
  <c r="Q301" i="34"/>
  <c r="F24" i="19"/>
  <c r="H301" i="34"/>
  <c r="F23" i="19"/>
  <c r="Q274" i="34"/>
  <c r="F22" i="19"/>
  <c r="H274" i="34"/>
  <c r="F21" i="19"/>
  <c r="Q247" i="34"/>
  <c r="F20" i="19"/>
  <c r="H247" i="34"/>
  <c r="F19" i="19"/>
  <c r="Q220" i="34"/>
  <c r="F18" i="19"/>
  <c r="H220" i="34"/>
  <c r="Q193" i="34"/>
  <c r="F16" i="19"/>
  <c r="H193" i="34"/>
  <c r="F15" i="19"/>
  <c r="Q166" i="34"/>
  <c r="H166" i="34"/>
  <c r="F13" i="19"/>
  <c r="Q139" i="34"/>
  <c r="F12" i="19"/>
  <c r="H139" i="34"/>
  <c r="F11" i="19"/>
  <c r="Q112" i="34"/>
  <c r="F10" i="19"/>
  <c r="H112" i="34"/>
  <c r="F9" i="19"/>
  <c r="Q85" i="34"/>
  <c r="F8" i="19"/>
  <c r="H85" i="34"/>
  <c r="F7" i="19"/>
  <c r="Q58" i="34"/>
  <c r="F6" i="19"/>
  <c r="H58" i="34"/>
  <c r="F5" i="19"/>
  <c r="Q31" i="34"/>
  <c r="F4" i="19"/>
  <c r="H31" i="34"/>
  <c r="F3" i="19"/>
  <c r="Q4" i="34"/>
  <c r="AJ4" i="35"/>
  <c r="H6" i="34" s="1"/>
  <c r="R22" i="5" s="1"/>
  <c r="T8" i="5"/>
  <c r="E27" i="19"/>
  <c r="T38" i="5" s="1"/>
  <c r="H12" i="5"/>
  <c r="N10" i="5"/>
  <c r="D27" i="19"/>
  <c r="V36" i="5" s="1"/>
  <c r="C27" i="19"/>
  <c r="V40" i="5" s="1"/>
  <c r="D4" i="35"/>
  <c r="F2" i="71" l="1"/>
  <c r="D8" i="34"/>
  <c r="F12" i="5"/>
  <c r="D12" i="5" s="1"/>
  <c r="F1" i="71"/>
  <c r="V30" i="5"/>
  <c r="I50" i="62"/>
  <c r="H10" i="5"/>
  <c r="J14" i="62"/>
  <c r="D16" i="34"/>
  <c r="AJ6" i="35"/>
  <c r="F2" i="19" s="1"/>
  <c r="F27" i="19" s="1"/>
  <c r="P30" i="5" s="1"/>
  <c r="R30" i="5"/>
  <c r="T6" i="35"/>
  <c r="T4" i="5" s="1"/>
  <c r="F10" i="5"/>
  <c r="D4" i="34"/>
  <c r="F8" i="5"/>
  <c r="D8" i="5" s="1"/>
  <c r="D10" i="5" l="1"/>
  <c r="L30" i="5"/>
  <c r="H4" i="34"/>
</calcChain>
</file>

<file path=xl/sharedStrings.xml><?xml version="1.0" encoding="utf-8"?>
<sst xmlns="http://schemas.openxmlformats.org/spreadsheetml/2006/main" count="7301" uniqueCount="1715">
  <si>
    <t>Academy</t>
  </si>
  <si>
    <t>Alchemist</t>
  </si>
  <si>
    <t>Arena</t>
  </si>
  <si>
    <t>Barracks</t>
  </si>
  <si>
    <t>Black Market</t>
  </si>
  <si>
    <t>Brewery</t>
  </si>
  <si>
    <t>Brothel</t>
  </si>
  <si>
    <t>Caster's Tower</t>
  </si>
  <si>
    <t>Castle</t>
  </si>
  <si>
    <t>Cathedral</t>
  </si>
  <si>
    <t>City Wall</t>
  </si>
  <si>
    <t>Dump</t>
  </si>
  <si>
    <t>Exotic Craftsman</t>
  </si>
  <si>
    <t>Garrisson</t>
  </si>
  <si>
    <t>Granary</t>
  </si>
  <si>
    <t>Graveyard</t>
  </si>
  <si>
    <t>Herbalist</t>
  </si>
  <si>
    <t>House</t>
  </si>
  <si>
    <t>Inn</t>
  </si>
  <si>
    <t>Jail</t>
  </si>
  <si>
    <t>Library</t>
  </si>
  <si>
    <t>Luxury Store</t>
  </si>
  <si>
    <t>Magic Shop</t>
  </si>
  <si>
    <t>Mansion</t>
  </si>
  <si>
    <t>Market</t>
  </si>
  <si>
    <t>Mill</t>
  </si>
  <si>
    <t>Monument</t>
  </si>
  <si>
    <t>Noble Villa</t>
  </si>
  <si>
    <t>Park</t>
  </si>
  <si>
    <t>Piers</t>
  </si>
  <si>
    <t>Shop</t>
  </si>
  <si>
    <t>Shrine</t>
  </si>
  <si>
    <t>Smith</t>
  </si>
  <si>
    <t>Stable</t>
  </si>
  <si>
    <t>Tannery</t>
  </si>
  <si>
    <t>Tavern</t>
  </si>
  <si>
    <t>Temple</t>
  </si>
  <si>
    <t>Tenement</t>
  </si>
  <si>
    <t>Theater</t>
  </si>
  <si>
    <t>Town Hall</t>
  </si>
  <si>
    <t>Tradesman</t>
  </si>
  <si>
    <t>Watchtower</t>
  </si>
  <si>
    <t>Waterfront</t>
  </si>
  <si>
    <t>Size</t>
  </si>
  <si>
    <t>Campaign</t>
  </si>
  <si>
    <t>Control DC</t>
  </si>
  <si>
    <t>Population</t>
  </si>
  <si>
    <t>Kingdom Name</t>
  </si>
  <si>
    <t>Alignment</t>
  </si>
  <si>
    <t>Economy</t>
  </si>
  <si>
    <t>Loyalty</t>
  </si>
  <si>
    <t>Stability</t>
  </si>
  <si>
    <t>Total</t>
  </si>
  <si>
    <t>Edicts</t>
  </si>
  <si>
    <t>Events</t>
  </si>
  <si>
    <t>Leadership</t>
  </si>
  <si>
    <t>Resources</t>
  </si>
  <si>
    <t>Unrest</t>
  </si>
  <si>
    <t>Other</t>
  </si>
  <si>
    <t>=</t>
  </si>
  <si>
    <t>+</t>
  </si>
  <si>
    <t>Cities</t>
  </si>
  <si>
    <t>Farms</t>
  </si>
  <si>
    <t>Consumption</t>
  </si>
  <si>
    <t>Treasury</t>
  </si>
  <si>
    <t>Ongoing Events</t>
  </si>
  <si>
    <t>Attributes</t>
  </si>
  <si>
    <t>Bandit Activity</t>
  </si>
  <si>
    <t>Monster Attack</t>
  </si>
  <si>
    <t>Plague</t>
  </si>
  <si>
    <t>Sensational Crime</t>
  </si>
  <si>
    <t>Ruler</t>
  </si>
  <si>
    <t>Councilor</t>
  </si>
  <si>
    <t>General</t>
  </si>
  <si>
    <t>Grand Diplomat</t>
  </si>
  <si>
    <t>High Priest</t>
  </si>
  <si>
    <t>Magister</t>
  </si>
  <si>
    <t>Marshal</t>
  </si>
  <si>
    <t>Royal Assassin</t>
  </si>
  <si>
    <t>Spymaster</t>
  </si>
  <si>
    <t>Treasurer</t>
  </si>
  <si>
    <t>Warden</t>
  </si>
  <si>
    <t>Role</t>
  </si>
  <si>
    <t>Name</t>
  </si>
  <si>
    <t>Bonus</t>
  </si>
  <si>
    <t>Attribute</t>
  </si>
  <si>
    <t>BP</t>
  </si>
  <si>
    <t xml:space="preserve">Promotion </t>
  </si>
  <si>
    <t>Taxation</t>
  </si>
  <si>
    <t>Festivals</t>
  </si>
  <si>
    <t>Level</t>
  </si>
  <si>
    <t>Type</t>
  </si>
  <si>
    <t>EC</t>
  </si>
  <si>
    <t>ST</t>
  </si>
  <si>
    <t>LO</t>
  </si>
  <si>
    <t>Defense</t>
  </si>
  <si>
    <t>Base Value</t>
  </si>
  <si>
    <t>Minor</t>
  </si>
  <si>
    <t>Major</t>
  </si>
  <si>
    <t>Cave</t>
  </si>
  <si>
    <t>Landmark</t>
  </si>
  <si>
    <t>Road</t>
  </si>
  <si>
    <t>Hexes</t>
  </si>
  <si>
    <t>No.</t>
  </si>
  <si>
    <t>Comments</t>
  </si>
  <si>
    <t>Neutral</t>
  </si>
  <si>
    <t>Lawful</t>
  </si>
  <si>
    <t>Evil</t>
  </si>
  <si>
    <t>Good</t>
  </si>
  <si>
    <t>Chaotic</t>
  </si>
  <si>
    <t>Promotion</t>
  </si>
  <si>
    <t>None</t>
  </si>
  <si>
    <t>Token</t>
  </si>
  <si>
    <t>Standard</t>
  </si>
  <si>
    <t>Expansionist</t>
  </si>
  <si>
    <t>Light</t>
  </si>
  <si>
    <t>Normal</t>
  </si>
  <si>
    <t>Heavy</t>
  </si>
  <si>
    <t>Overwhelming</t>
  </si>
  <si>
    <t>City 1</t>
  </si>
  <si>
    <t>City 2</t>
  </si>
  <si>
    <t>City 3</t>
  </si>
  <si>
    <t>City 4</t>
  </si>
  <si>
    <t>City 5</t>
  </si>
  <si>
    <t>City 6</t>
  </si>
  <si>
    <t>City 7</t>
  </si>
  <si>
    <t>City 8</t>
  </si>
  <si>
    <t>City 9</t>
  </si>
  <si>
    <t>City 10</t>
  </si>
  <si>
    <t>City 11</t>
  </si>
  <si>
    <t>City 12</t>
  </si>
  <si>
    <t>City 13</t>
  </si>
  <si>
    <t>City 14</t>
  </si>
  <si>
    <t>City 15</t>
  </si>
  <si>
    <t>City 16</t>
  </si>
  <si>
    <t>City 17</t>
  </si>
  <si>
    <t>City 18</t>
  </si>
  <si>
    <t>City 19</t>
  </si>
  <si>
    <t>City 20</t>
  </si>
  <si>
    <t>City 21</t>
  </si>
  <si>
    <t>City 22</t>
  </si>
  <si>
    <t>City 23</t>
  </si>
  <si>
    <t>City 24</t>
  </si>
  <si>
    <t>City 25</t>
  </si>
  <si>
    <t>City No.</t>
  </si>
  <si>
    <t>Aggressive</t>
  </si>
  <si>
    <t>Code</t>
  </si>
  <si>
    <t>Farm</t>
  </si>
  <si>
    <t>Major Buildings</t>
  </si>
  <si>
    <t>Items</t>
  </si>
  <si>
    <t>Minor Items</t>
  </si>
  <si>
    <t>Major Items</t>
  </si>
  <si>
    <t>Moderate</t>
  </si>
  <si>
    <t>Buildings</t>
  </si>
  <si>
    <t>Guild Hall</t>
  </si>
  <si>
    <t>Special Resources</t>
  </si>
  <si>
    <t>Miscellaneous</t>
  </si>
  <si>
    <t>Vacancies</t>
  </si>
  <si>
    <t>City Districts</t>
  </si>
  <si>
    <t>Version 1.0</t>
  </si>
  <si>
    <t>Original Version</t>
  </si>
  <si>
    <t>Version 1.1</t>
  </si>
  <si>
    <t>Special Resources added to the Kingdom Sheet</t>
  </si>
  <si>
    <t>Corrected Miscellaneous minor spelling and formatting errors</t>
  </si>
  <si>
    <t>Consumption calculation for cities corrected</t>
  </si>
  <si>
    <t>Multiple District City function incorporated</t>
  </si>
  <si>
    <t>Corrections:</t>
  </si>
  <si>
    <t>Upgrades</t>
  </si>
  <si>
    <t>Vacancy calculation updated to base vacancies on empty "Name" fields</t>
  </si>
  <si>
    <r>
      <t>"</t>
    </r>
    <r>
      <rPr>
        <sz val="11"/>
        <color theme="1"/>
        <rFont val="Calibri"/>
        <family val="2"/>
        <scheme val="minor"/>
      </rPr>
      <t>Pop-Up" Information implemented throughout the document</t>
    </r>
  </si>
  <si>
    <t>Starting City Base Value included in Base Value calculation. Max Base Value set at 16000</t>
  </si>
  <si>
    <t>Version 1.2</t>
  </si>
  <si>
    <t xml:space="preserve">Errata regarding Barracks, Exotic Craftsman, Gravyard, Watchtower implemented </t>
  </si>
  <si>
    <t>Version 1.3</t>
  </si>
  <si>
    <t>Medium Items</t>
  </si>
  <si>
    <t xml:space="preserve">Updated calculations as not to count walls for population. </t>
  </si>
  <si>
    <t>Version 1.4</t>
  </si>
  <si>
    <t>Updated calculations to base unrest calculation on empty name fields</t>
  </si>
  <si>
    <t>Version 2.0</t>
  </si>
  <si>
    <t>Version 1.5</t>
  </si>
  <si>
    <t>Corrections to the city overview sheet</t>
  </si>
  <si>
    <t>Added sheets and rules for armies</t>
  </si>
  <si>
    <t>Combat</t>
  </si>
  <si>
    <t>Logistics</t>
  </si>
  <si>
    <t>Speed</t>
  </si>
  <si>
    <t>Hitpoints</t>
  </si>
  <si>
    <t>Tactics</t>
  </si>
  <si>
    <t>CR</t>
  </si>
  <si>
    <t>Morale</t>
  </si>
  <si>
    <t>Special Abilities</t>
  </si>
  <si>
    <t>Leader</t>
  </si>
  <si>
    <t>Creature</t>
  </si>
  <si>
    <t>HD</t>
  </si>
  <si>
    <t>Offensive</t>
  </si>
  <si>
    <t>Defensive</t>
  </si>
  <si>
    <t>Alignment Short</t>
  </si>
  <si>
    <t>LG</t>
  </si>
  <si>
    <t>LN</t>
  </si>
  <si>
    <t>LE</t>
  </si>
  <si>
    <t>N</t>
  </si>
  <si>
    <t>NG</t>
  </si>
  <si>
    <t>NE</t>
  </si>
  <si>
    <t>CG</t>
  </si>
  <si>
    <t>CN</t>
  </si>
  <si>
    <t>CE</t>
  </si>
  <si>
    <t>Hitdice</t>
  </si>
  <si>
    <t>Sizes</t>
  </si>
  <si>
    <t>Fine</t>
  </si>
  <si>
    <t>Dimunitive</t>
  </si>
  <si>
    <t>Small</t>
  </si>
  <si>
    <t>Medium</t>
  </si>
  <si>
    <t>Large</t>
  </si>
  <si>
    <t>Huge</t>
  </si>
  <si>
    <t>Gargantuan</t>
  </si>
  <si>
    <t>Colossal</t>
  </si>
  <si>
    <t>Tiny</t>
  </si>
  <si>
    <t>Cautious Combat</t>
  </si>
  <si>
    <t>Cavalry Experts</t>
  </si>
  <si>
    <t>Defensive Wall</t>
  </si>
  <si>
    <t>Dirty Fighters</t>
  </si>
  <si>
    <t>Expert Flankers</t>
  </si>
  <si>
    <t>False Retreat</t>
  </si>
  <si>
    <t>Hold the Line</t>
  </si>
  <si>
    <t>Relentless Brutality</t>
  </si>
  <si>
    <t>Siegebreak</t>
  </si>
  <si>
    <t>Sniper Support</t>
  </si>
  <si>
    <t>Spellbreaker</t>
  </si>
  <si>
    <t>Taunt</t>
  </si>
  <si>
    <t>Improved Weapons</t>
  </si>
  <si>
    <t>Improved Weapons (Magic)</t>
  </si>
  <si>
    <t>Improved Armor</t>
  </si>
  <si>
    <t>Improved Armor (Magic)</t>
  </si>
  <si>
    <t>Healing Potions</t>
  </si>
  <si>
    <t>Ranged Weapons</t>
  </si>
  <si>
    <t>Siege Engines</t>
  </si>
  <si>
    <t>Special Abilties</t>
  </si>
  <si>
    <t>Breath Weapon</t>
  </si>
  <si>
    <t>Energy Drain</t>
  </si>
  <si>
    <t>Regeneration</t>
  </si>
  <si>
    <t>Fast Healing</t>
  </si>
  <si>
    <t>Construct</t>
  </si>
  <si>
    <t>Plant</t>
  </si>
  <si>
    <t>Undead</t>
  </si>
  <si>
    <t>Fear</t>
  </si>
  <si>
    <t>Mobility Advantage</t>
  </si>
  <si>
    <t>Paralysis</t>
  </si>
  <si>
    <t>Poison</t>
  </si>
  <si>
    <t>Rock Throwing</t>
  </si>
  <si>
    <t>Significant Defense</t>
  </si>
  <si>
    <t>Spell Resistance</t>
  </si>
  <si>
    <t>Spellcasting</t>
  </si>
  <si>
    <t>Crusader</t>
  </si>
  <si>
    <t>Mercenary</t>
  </si>
  <si>
    <t>Ships</t>
  </si>
  <si>
    <t>Correction to taxation calculation</t>
  </si>
  <si>
    <t>ACTIVE</t>
  </si>
  <si>
    <t>Leader Charisma</t>
  </si>
  <si>
    <t>Yes</t>
  </si>
  <si>
    <t>No</t>
  </si>
  <si>
    <t>Active</t>
  </si>
  <si>
    <t>Offense</t>
  </si>
  <si>
    <t>Cost</t>
  </si>
  <si>
    <t>Siegebreaker</t>
  </si>
  <si>
    <t>Mounts (1)</t>
  </si>
  <si>
    <t>Mounts (2)</t>
  </si>
  <si>
    <t>Mounts (3)</t>
  </si>
  <si>
    <t>Mounts (4)</t>
  </si>
  <si>
    <t>Mounts (5)</t>
  </si>
  <si>
    <t>CHA</t>
  </si>
  <si>
    <t>Base Morale</t>
  </si>
  <si>
    <t>army of</t>
  </si>
  <si>
    <t>COMBAT</t>
  </si>
  <si>
    <t>DV</t>
  </si>
  <si>
    <t>OM</t>
  </si>
  <si>
    <t>LOGISTICS</t>
  </si>
  <si>
    <t>hp</t>
  </si>
  <si>
    <t>Cha</t>
  </si>
  <si>
    <t>Armies</t>
  </si>
  <si>
    <t>Cons</t>
  </si>
  <si>
    <t>Overall Army Consumption</t>
  </si>
  <si>
    <t xml:space="preserve"> </t>
  </si>
  <si>
    <t xml:space="preserve">Adventurer Event </t>
  </si>
  <si>
    <t>Kingdom Event</t>
  </si>
  <si>
    <t xml:space="preserve">Song or Tale </t>
  </si>
  <si>
    <t xml:space="preserve">Trendsetter </t>
  </si>
  <si>
    <t>Visiting Celebrity</t>
  </si>
  <si>
    <t xml:space="preserve">Spy Discovered </t>
  </si>
  <si>
    <t xml:space="preserve">Time of Faithfulness </t>
  </si>
  <si>
    <t>Trade Agreement</t>
  </si>
  <si>
    <t xml:space="preserve">Religious Apathy </t>
  </si>
  <si>
    <t xml:space="preserve">Sensational Crime </t>
  </si>
  <si>
    <t xml:space="preserve">Undead Uprising </t>
  </si>
  <si>
    <t xml:space="preserve">Good Event </t>
  </si>
  <si>
    <t xml:space="preserve">Leadership Event </t>
  </si>
  <si>
    <t xml:space="preserve">Bad Event </t>
  </si>
  <si>
    <t>Adventurer Event</t>
  </si>
  <si>
    <t>Leadership Event</t>
  </si>
  <si>
    <t xml:space="preserve">Eureka </t>
  </si>
  <si>
    <t xml:space="preserve">Food Surplus </t>
  </si>
  <si>
    <t xml:space="preserve">Good Weather </t>
  </si>
  <si>
    <t xml:space="preserve">Economic Boom </t>
  </si>
  <si>
    <t xml:space="preserve">Honored Citizen Passes </t>
  </si>
  <si>
    <t xml:space="preserve">Natural Blessing </t>
  </si>
  <si>
    <t xml:space="preserve">New Vassals </t>
  </si>
  <si>
    <t xml:space="preserve">Outstanding Success </t>
  </si>
  <si>
    <t xml:space="preserve">Political Calm </t>
  </si>
  <si>
    <t xml:space="preserve">Public Scandal </t>
  </si>
  <si>
    <t xml:space="preserve">Public Execution </t>
  </si>
  <si>
    <t xml:space="preserve">Military Drill </t>
  </si>
  <si>
    <t xml:space="preserve">Magical Performances </t>
  </si>
  <si>
    <t xml:space="preserve">Heavy Tax Burden </t>
  </si>
  <si>
    <t xml:space="preserve">Feud </t>
  </si>
  <si>
    <t xml:space="preserve">Assassination Attempt </t>
  </si>
  <si>
    <t xml:space="preserve">Increased Efficiency </t>
  </si>
  <si>
    <t xml:space="preserve">Accident </t>
  </si>
  <si>
    <t xml:space="preserve">Bad Weather </t>
  </si>
  <si>
    <t xml:space="preserve">Bandit Activity </t>
  </si>
  <si>
    <t xml:space="preserve">Disaster </t>
  </si>
  <si>
    <t xml:space="preserve">Food Shortage </t>
  </si>
  <si>
    <t xml:space="preserve">Monster Attack </t>
  </si>
  <si>
    <t xml:space="preserve">Pest Swarms </t>
  </si>
  <si>
    <t xml:space="preserve">Plague </t>
  </si>
  <si>
    <t>Adventurers Pass Through</t>
  </si>
  <si>
    <t>Monster Nuisance</t>
  </si>
  <si>
    <t>Monster Retribution</t>
  </si>
  <si>
    <t>Rowdy Adventurers</t>
  </si>
  <si>
    <t>GENERATED</t>
  </si>
  <si>
    <t>25% CHANCE</t>
  </si>
  <si>
    <t>75% CHANCE</t>
  </si>
  <si>
    <t>Text</t>
  </si>
  <si>
    <t>Some kobolds, goblins, orcs or other low CR monsters attacks the kingdom. The monsters are quickly dispatched by a group of adventurers. The tale spreads, reducing Unrest by 1. Reduce the kingdom’s Treasury by 1 BP to reward the adventurers.</t>
  </si>
  <si>
    <t>An adventuring party in your area gets drunk and causes a major fight in a random tavern or drinking hall, trashing the place. The building is damaged and needs repaired before it can be used again. Lose the bonus granted by the building until it is repaired (1/2 the BP to build a new one).</t>
  </si>
  <si>
    <t>A random hex that contains a resource providing your kingdom with a bonus to your Economy (such as a mine, lumber camp) suffers and accident involving the death of numerous workers. The hex does not provide any benefit this month while new workers are being trained.</t>
  </si>
  <si>
    <t xml:space="preserve">Either snow, rainstorms, thunderstorms or torrential winds persist for several days - this slows down the productivity of many businesses and keeps potential clients and customers locked safely inside their homes. You gain a –2 penalty to all Economy checks until your next Event phase. Increase Unrest by 1 as the people complain about failing businesses. </t>
  </si>
  <si>
    <t xml:space="preserve">Spoilage, treachery, or simple bad luck have resulted in a food shortage this month. If you fail a Stability check, your Consumption is doubled during the next Upkeep phase. </t>
  </si>
  <si>
    <t>Good weather raises spirits and productivity. You gain a +4 bonus on Loyalty checks until your next Event phase.</t>
  </si>
  <si>
    <t xml:space="preserve">A respected hero of the people, a beloved priest, or a local leader passes away. Reduce Unrest by 2 as the people remember and mourn. </t>
  </si>
  <si>
    <t xml:space="preserve">(CONTINUOUS) A monster (or group of monsters) attacks the kingdom—pick a hex the PCs have claimed to determine which hex the monster is active in. You can determine the type of monster by rolling on a wandering monster table until you get a result of CR 7 or higher. If the PCs don’t set out to defeat the monster or monsters, a Stability check removes the threat. If the monster is not defeated, Unrest increases by 4. If your kingdom’s Unrest is 5 or higher, the hex the monster dwells in becomes unclaimed at this time (this is in addition to losing control of hexes during Upkeep due to high Unrest). </t>
  </si>
  <si>
    <t>A natural event, such as a bloom of rare and beautiful wildflowers or good omens in the stars, raises your kingdom’s morale. You gain a +4 bonus on Stability checks until your next Event phase.</t>
  </si>
  <si>
    <t xml:space="preserve">One of your leaders is implicated in a crime or an embarrassing situation, such as an affair with another leader’s spouse. If you fail a Loyalty check, increase Unrest by 2 and suffer a –4 penalty on all Loyalty checks until your next Event phase. </t>
  </si>
  <si>
    <t xml:space="preserve">A natural event such as a bad growing month or harsh weather cause some restlessness in the kingdom. Suffer a -2 penalty to all Stability checks until your next Event phase. </t>
  </si>
  <si>
    <t>A song of the ruler’s legend or a tale of the kingdom’s bravery spreads through your land, lightening the hearts of your people and increasing the income at Breweries everywhere. Gain a +2 bonus on Economy checks until your next Event phase and reduce Unrest by 2.</t>
  </si>
  <si>
    <t xml:space="preserve">A spy causing trouble in your lands has been causing trouble in your lands and has been discovered. Assassinate him and increase Unrest by 2 or arrest him and publicize the trial, costing the kingdom’s Treasury 1 BP. </t>
  </si>
  <si>
    <t>1d6 Random Increase Generator</t>
  </si>
  <si>
    <t>2d6 Random Increase</t>
  </si>
  <si>
    <t>An adventuring party kills a few of the local monsters before leaving the area. Angered by this, the remaining monsters attack a town of your. Two (2) random buildings in your town are damaged and are unusable until repaired (1/2 the BP to build a new one). If the city has a wall, the wall must be one of the two buildings.</t>
  </si>
  <si>
    <t>(NO MARSHAL = CONTINUOUS) A small group of bandits have been harassing some local farms. Your Marshal lays a trap and catches the bandits and discovers they are a group of runaway kids. They are returned home and punished to community service for a month. Reduce Consumption by 1 BP (minimum 0) until your next Event phase.</t>
  </si>
  <si>
    <t>(NO TREASURER = NON-EVENT) Your Treasurer figures out how to spend your money more wisely. Reduce your Consumption by 1 BP (minimum 0) until your next Event phase.</t>
  </si>
  <si>
    <t>(NO MAGISTER = NON-EVENT) One of the highlight performances at your festivals involves the Magister displaying magical prowess. The people are more interested in hiring the services of a spellcaster over the next month. You gain a +4 to all Economy checks until your next Event phase.</t>
  </si>
  <si>
    <t>(NO GENERAL = NON-EVENT) The nation’s promotion includes military demonstrations. You gain a +2 bonus on Stability checks until your next Event phase.</t>
  </si>
  <si>
    <t>(NO ROYAL ASSASSIN = NON-EVENT) A high profile criminal is executed publically. Gain a +1 bonus to Loyalty checks until your next Event phase.</t>
  </si>
  <si>
    <t>(NO HIGH PRIEST = NON-EVENT) The High Priest calls for a time for all followers to be truer to the tenants of the faith and the people respond. Decrease Unrest by 2.</t>
  </si>
  <si>
    <t xml:space="preserve">(CONTINUOUS) A serial killer, arsonist, flamboyant thief, or daring bandit plagues your kingdom. Make a Stability check to catch the criminal; otherwise increase Unrest by 2. </t>
  </si>
  <si>
    <t>Leader Type</t>
  </si>
  <si>
    <t>Lookup</t>
  </si>
  <si>
    <t>(NO COUNCILOR/TAXATION = NON-EVENT) The people feel they pay too much in taxes and take their grievance to the Councilor. Make a Loyalty check. A successful check means that the Councilor smoothes over the situation, granting a +1 to all Loyalty check until the next Event phase. A failed check mean that the citizens are still not satisfied, giving the nation a -1 penalty to all Loyalty check until the next Event phase.</t>
  </si>
  <si>
    <t>(CONTINUOUS) A brazen criminal, adventurer or opportunistic noble has set themselves up as a crime lord in a random city district (or the whole city if ithe city has only one district). Make a Stability check. If you succeed, the Crime Lord is caught and is charged with criminal activity. If you fail, the crime boss reduces all Economy bonuses from buildings in the district by half (rounding down).</t>
  </si>
  <si>
    <t>Crime Lord Activity</t>
  </si>
  <si>
    <t>Fort</t>
  </si>
  <si>
    <t>Lock</t>
  </si>
  <si>
    <t>Mine</t>
  </si>
  <si>
    <t>Rivers</t>
  </si>
  <si>
    <t>Rare Lumber Camp</t>
  </si>
  <si>
    <t>DEF</t>
  </si>
  <si>
    <t>UNR</t>
  </si>
  <si>
    <t>Rare Ore Mine</t>
  </si>
  <si>
    <t>Optional Resources</t>
  </si>
  <si>
    <t>Optional Buildings</t>
  </si>
  <si>
    <t>Apiary</t>
  </si>
  <si>
    <t>Aviary</t>
  </si>
  <si>
    <t>Baker</t>
  </si>
  <si>
    <t>Butcher</t>
  </si>
  <si>
    <t>Carpenter</t>
  </si>
  <si>
    <t>Fletcher</t>
  </si>
  <si>
    <t>Keep</t>
  </si>
  <si>
    <t>Monastery</t>
  </si>
  <si>
    <t>Office of the Watch</t>
  </si>
  <si>
    <t>Weaver</t>
  </si>
  <si>
    <t>Witches Hut</t>
  </si>
  <si>
    <t>City Blocks</t>
  </si>
  <si>
    <t>City Base Value+</t>
  </si>
  <si>
    <t>Defence</t>
  </si>
  <si>
    <t>This Month</t>
  </si>
  <si>
    <t>None Last Month</t>
  </si>
  <si>
    <t>Unrest Increment</t>
  </si>
  <si>
    <t>Kingdom Improvements Per Month</t>
  </si>
  <si>
    <t>Kingdom Size</t>
  </si>
  <si>
    <t>New Cities</t>
  </si>
  <si>
    <t>New Buildings</t>
  </si>
  <si>
    <t>Hexes Claimed</t>
  </si>
  <si>
    <t>Roads</t>
  </si>
  <si>
    <t>Farmland</t>
  </si>
  <si>
    <t>1-10</t>
  </si>
  <si>
    <t>11-25</t>
  </si>
  <si>
    <t>26-50</t>
  </si>
  <si>
    <t>51-100</t>
  </si>
  <si>
    <t>101-200</t>
  </si>
  <si>
    <t>200+</t>
  </si>
  <si>
    <t>No Limit</t>
  </si>
  <si>
    <t>Child Bandits</t>
  </si>
  <si>
    <t>Undead Uprising</t>
  </si>
  <si>
    <t>Random Events (Dragon Magazine)</t>
  </si>
  <si>
    <t>Protector Leaves</t>
  </si>
  <si>
    <t>Drowning</t>
  </si>
  <si>
    <t>Collapse</t>
  </si>
  <si>
    <t>Undead Monster</t>
  </si>
  <si>
    <t>Humanoid Skirmishes</t>
  </si>
  <si>
    <t>Tribute Due</t>
  </si>
  <si>
    <t>Death</t>
  </si>
  <si>
    <t>Public Execution</t>
  </si>
  <si>
    <t>Murder Attempt</t>
  </si>
  <si>
    <t>Kidnapping</t>
  </si>
  <si>
    <t>Insect Plague</t>
  </si>
  <si>
    <t>Flooding</t>
  </si>
  <si>
    <t>Fire</t>
  </si>
  <si>
    <t>Major Theft</t>
  </si>
  <si>
    <t>Earthquake</t>
  </si>
  <si>
    <t>Nearby Village Attacked</t>
  </si>
  <si>
    <t>Tax Collection</t>
  </si>
  <si>
    <t>Canal</t>
  </si>
  <si>
    <t>Public Punishment</t>
  </si>
  <si>
    <t>Extreme Weather</t>
  </si>
  <si>
    <t>Press Gang</t>
  </si>
  <si>
    <t>Moat</t>
  </si>
  <si>
    <t>Search</t>
  </si>
  <si>
    <t>Duel</t>
  </si>
  <si>
    <t>Races/Games</t>
  </si>
  <si>
    <t>Marriage</t>
  </si>
  <si>
    <t>Agricultural Event</t>
  </si>
  <si>
    <t>Birth</t>
  </si>
  <si>
    <t>Wall</t>
  </si>
  <si>
    <t>Faith Magic Casting</t>
  </si>
  <si>
    <t>Bard</t>
  </si>
  <si>
    <t>Gladiatorial Games</t>
  </si>
  <si>
    <t>Local Hero</t>
  </si>
  <si>
    <t>Pilgrims</t>
  </si>
  <si>
    <t>Bridge</t>
  </si>
  <si>
    <t>Wargames</t>
  </si>
  <si>
    <t>Sage</t>
  </si>
  <si>
    <t>Holy Man</t>
  </si>
  <si>
    <t>Holiday</t>
  </si>
  <si>
    <t>Fair/Carnival/Circus</t>
  </si>
  <si>
    <t>Ambassador</t>
  </si>
  <si>
    <t>Garrisoning of Town</t>
  </si>
  <si>
    <t>Holy Artefact</t>
  </si>
  <si>
    <t>Enemy Killed</t>
  </si>
  <si>
    <t>1.Dragged</t>
  </si>
  <si>
    <t>2.Portal opens</t>
  </si>
  <si>
    <t>3.Innocent bystander killed</t>
  </si>
  <si>
    <t>4.New land discovered</t>
  </si>
  <si>
    <t>5.Feuding</t>
  </si>
  <si>
    <t>6.Alimony not received</t>
  </si>
  <si>
    <t>7.Disobeying a lawful order</t>
  </si>
  <si>
    <t>8.Coughing</t>
  </si>
  <si>
    <t>9.Smuggling</t>
  </si>
  <si>
    <t>10.Someone does something funny</t>
  </si>
  <si>
    <t>11.Fleeing from justice</t>
  </si>
  <si>
    <t>12.Discovery that someone is adopted</t>
  </si>
  <si>
    <t>13.Peeping</t>
  </si>
  <si>
    <t>14.Deviant sexual behavior</t>
  </si>
  <si>
    <t>15.Counteraction</t>
  </si>
  <si>
    <t>16.Brawl</t>
  </si>
  <si>
    <t>17.Inquiry</t>
  </si>
  <si>
    <t>18.Bigamy</t>
  </si>
  <si>
    <t>19.Street gang encountered</t>
  </si>
  <si>
    <t>20.Slander</t>
  </si>
  <si>
    <t>21.Lying</t>
  </si>
  <si>
    <t>22.New building or structure constructed</t>
  </si>
  <si>
    <t>23.Attraction</t>
  </si>
  <si>
    <t>24.Adoption</t>
  </si>
  <si>
    <t>25.Birthday celebration</t>
  </si>
  <si>
    <t>26.Fleeing from slavery</t>
  </si>
  <si>
    <t>27.Reinforcements arrive</t>
  </si>
  <si>
    <t>28.Low tide</t>
  </si>
  <si>
    <t>29.New technique discovered</t>
  </si>
  <si>
    <t>30.Assault</t>
  </si>
  <si>
    <t>31.Search for a fugitive</t>
  </si>
  <si>
    <t>32.Expansion</t>
  </si>
  <si>
    <t>33.Desertion</t>
  </si>
  <si>
    <t>34.Animal theft</t>
  </si>
  <si>
    <t>35.Slaves sold</t>
  </si>
  <si>
    <t>36.Selling defective goods</t>
  </si>
  <si>
    <t>37.Avalanche</t>
  </si>
  <si>
    <t>38.Sex</t>
  </si>
  <si>
    <t>39.Forced to kill someone else</t>
  </si>
  <si>
    <t>40.Return of a missing person</t>
  </si>
  <si>
    <t>41.Contract broken</t>
  </si>
  <si>
    <t>42.Assassination attempt fails</t>
  </si>
  <si>
    <t>43.Becomes feverish</t>
  </si>
  <si>
    <t>44.Substance freezes</t>
  </si>
  <si>
    <t>45.Stray animal attacks</t>
  </si>
  <si>
    <t>46.Piracy</t>
  </si>
  <si>
    <t>47.Fleeing from enemy</t>
  </si>
  <si>
    <t>48.Air turbulance</t>
  </si>
  <si>
    <t>49.Bad mood</t>
  </si>
  <si>
    <t>50.Hanging</t>
  </si>
  <si>
    <t>51.Valuable item dropped</t>
  </si>
  <si>
    <t>52.Encounter with organized crime</t>
  </si>
  <si>
    <t>53.New lands created (e.g., by earthquake)</t>
  </si>
  <si>
    <t>54.Hair extraction</t>
  </si>
  <si>
    <t>55.Publicly Humiliated</t>
  </si>
  <si>
    <t>56.Harboring a fugitive</t>
  </si>
  <si>
    <t>57.Eclipse of sun</t>
  </si>
  <si>
    <t>58.Portal closes</t>
  </si>
  <si>
    <t>59.Vandalism</t>
  </si>
  <si>
    <t>60.Blizzard</t>
  </si>
  <si>
    <t>61.Earthquake</t>
  </si>
  <si>
    <t>62.Balance maintained</t>
  </si>
  <si>
    <t>63.Conducting business without a license</t>
  </si>
  <si>
    <t>64.Reparations</t>
  </si>
  <si>
    <t>65.Genital crushing</t>
  </si>
  <si>
    <t>66.Pornographic items sold</t>
  </si>
  <si>
    <t>67.Truth is hidden</t>
  </si>
  <si>
    <t>68.Insanity</t>
  </si>
  <si>
    <t>69.Inciting to riot</t>
  </si>
  <si>
    <t>70.Collision</t>
  </si>
  <si>
    <t>71.Agreement reached</t>
  </si>
  <si>
    <t>72.Tornado</t>
  </si>
  <si>
    <t>73.Crucified</t>
  </si>
  <si>
    <t>74.Trial</t>
  </si>
  <si>
    <t>75.Religious fanaticism</t>
  </si>
  <si>
    <t>76.Branded</t>
  </si>
  <si>
    <t>77.Screams heard in distance</t>
  </si>
  <si>
    <t>78.Accessory to murder</t>
  </si>
  <si>
    <t>79.Rumor discovered to be false</t>
  </si>
  <si>
    <t>80.Religious visitation</t>
  </si>
  <si>
    <t>81.Comet appears</t>
  </si>
  <si>
    <t>82.Measurement of item</t>
  </si>
  <si>
    <t>83.Separation</t>
  </si>
  <si>
    <t>84.Misery</t>
  </si>
  <si>
    <t>85.Hostage taken</t>
  </si>
  <si>
    <t>86.Extortion</t>
  </si>
  <si>
    <t>87.Sound comes from unexpected place</t>
  </si>
  <si>
    <t>88.Ambassador arrives</t>
  </si>
  <si>
    <t>89.Insects swarm</t>
  </si>
  <si>
    <t>90.Amputation</t>
  </si>
  <si>
    <t>91.High tide</t>
  </si>
  <si>
    <t>92.Head twisting</t>
  </si>
  <si>
    <t>93.Decapitated</t>
  </si>
  <si>
    <t>94.Person goes missing</t>
  </si>
  <si>
    <t>95.Race lost</t>
  </si>
  <si>
    <t>96.Rib cracked</t>
  </si>
  <si>
    <t>97.Burglary</t>
  </si>
  <si>
    <t>98.Bluff called</t>
  </si>
  <si>
    <t>99.Arson</t>
  </si>
  <si>
    <t>100.Struck by poison dart</t>
  </si>
  <si>
    <t>1.Forced march</t>
  </si>
  <si>
    <t>2.Phony charity seeks donation</t>
  </si>
  <si>
    <t>3.Castration</t>
  </si>
  <si>
    <t>4.Enlargement</t>
  </si>
  <si>
    <t>5.Sky darkened by flock of birds</t>
  </si>
  <si>
    <t>6.Coma</t>
  </si>
  <si>
    <t>7.Garbling</t>
  </si>
  <si>
    <t>8.Mutiny</t>
  </si>
  <si>
    <t>9.Fingernails pulled out</t>
  </si>
  <si>
    <t>10.Abortion</t>
  </si>
  <si>
    <t>11.Star goes nova</t>
  </si>
  <si>
    <t>12.Gain an advantage</t>
  </si>
  <si>
    <t>13.Concealment of birth</t>
  </si>
  <si>
    <t>14.Protection removed</t>
  </si>
  <si>
    <t>15.Negligence</t>
  </si>
  <si>
    <t>16.Disease contracted</t>
  </si>
  <si>
    <t>17.Search for an item</t>
  </si>
  <si>
    <t>18.Innocent bystander disfigured</t>
  </si>
  <si>
    <t>19.Eye peeking through hole</t>
  </si>
  <si>
    <t>20.Hostage killed</t>
  </si>
  <si>
    <t>21.Valuable item misplaced</t>
  </si>
  <si>
    <t>22.Pornographic items found</t>
  </si>
  <si>
    <t>23.Musical performance</t>
  </si>
  <si>
    <t>24.Kidnapping</t>
  </si>
  <si>
    <t>25.Shooting star</t>
  </si>
  <si>
    <t>26.Bigamy</t>
  </si>
  <si>
    <t>27.New species of animal discovered</t>
  </si>
  <si>
    <t>28.Shouting</t>
  </si>
  <si>
    <t>29.Discovery of species thought to be extinct</t>
  </si>
  <si>
    <t>30.Illness</t>
  </si>
  <si>
    <t>31.Murder</t>
  </si>
  <si>
    <t>32.Person grows weaker</t>
  </si>
  <si>
    <t>33.Exile</t>
  </si>
  <si>
    <t>34.Drugging</t>
  </si>
  <si>
    <t>35.Plague</t>
  </si>
  <si>
    <t>36.Bluffing</t>
  </si>
  <si>
    <t>37.City / village razed</t>
  </si>
  <si>
    <t>38.Libel</t>
  </si>
  <si>
    <t>39.Eclipse of moon</t>
  </si>
  <si>
    <t>40.Brawl</t>
  </si>
  <si>
    <t>41.Loitering</t>
  </si>
  <si>
    <t>42.Blinded by dust</t>
  </si>
  <si>
    <t>43.Hospitality denied</t>
  </si>
  <si>
    <t>44.'Miracle' drug/herb for sale</t>
  </si>
  <si>
    <t>45.Comparison made</t>
  </si>
  <si>
    <t>46.Hurricane</t>
  </si>
  <si>
    <t>47.Tide comes in</t>
  </si>
  <si>
    <t>48.Orphaned</t>
  </si>
  <si>
    <t>49.Sacrifice</t>
  </si>
  <si>
    <t>50.Burned alive</t>
  </si>
  <si>
    <t>51.Confession to a crime</t>
  </si>
  <si>
    <t>52.Treaty made</t>
  </si>
  <si>
    <t>53.Curse placed on someone</t>
  </si>
  <si>
    <t>54.Human trafficking</t>
  </si>
  <si>
    <t>55.Pornographic items created</t>
  </si>
  <si>
    <t>56.Hair extraction</t>
  </si>
  <si>
    <t>57.Spying</t>
  </si>
  <si>
    <t>58.Teeth pulled</t>
  </si>
  <si>
    <t>59.Pilgrimage</t>
  </si>
  <si>
    <t>60.Mediocrity</t>
  </si>
  <si>
    <t>61.Crime wave</t>
  </si>
  <si>
    <t>62.Indecent exposure</t>
  </si>
  <si>
    <t>63.Riot</t>
  </si>
  <si>
    <t>64.Lost temper</t>
  </si>
  <si>
    <t>65.Pillaging</t>
  </si>
  <si>
    <t>66.Blinded in one eye</t>
  </si>
  <si>
    <t>67.Stray pet found</t>
  </si>
  <si>
    <t>68.Truth is discovered</t>
  </si>
  <si>
    <t>69.Serial killings</t>
  </si>
  <si>
    <t>70.Indemnification</t>
  </si>
  <si>
    <t>71.Immersed in hot liquid</t>
  </si>
  <si>
    <t>72.Balance maintained</t>
  </si>
  <si>
    <t>73.Destruction of property</t>
  </si>
  <si>
    <t>74.Reproduction sold as original</t>
  </si>
  <si>
    <t>75.Eclipse of sun</t>
  </si>
  <si>
    <t>76.Target practice</t>
  </si>
  <si>
    <t>77.Grave robbery</t>
  </si>
  <si>
    <t>78.Prison break</t>
  </si>
  <si>
    <t>79.New race discovered</t>
  </si>
  <si>
    <t>80.Garroting</t>
  </si>
  <si>
    <t>81.Screaming</t>
  </si>
  <si>
    <t>82.Valuable item dropped</t>
  </si>
  <si>
    <t>83.Ownership of land changes</t>
  </si>
  <si>
    <t>84.Governing authority resigns</t>
  </si>
  <si>
    <t>85.Ownership of valuable item changes</t>
  </si>
  <si>
    <t>86.Compensation</t>
  </si>
  <si>
    <t>87.Inequality</t>
  </si>
  <si>
    <t>88.Low tide</t>
  </si>
  <si>
    <t>89.Pet is stolen</t>
  </si>
  <si>
    <t>90.Ascension</t>
  </si>
  <si>
    <t>91.Blinded in both eyes</t>
  </si>
  <si>
    <t>92.Discrimination</t>
  </si>
  <si>
    <t>93.Siege</t>
  </si>
  <si>
    <t>94.New land discovered</t>
  </si>
  <si>
    <t>95.Forced to kill someone else</t>
  </si>
  <si>
    <t>96.Knifed</t>
  </si>
  <si>
    <t>97.Misery</t>
  </si>
  <si>
    <t>98.Troop movement</t>
  </si>
  <si>
    <t>99.Eye gouged out</t>
  </si>
  <si>
    <t>100.Alignment of planets</t>
  </si>
  <si>
    <t>1.Ownership of pet changes</t>
  </si>
  <si>
    <t>2.Shot</t>
  </si>
  <si>
    <t>3.New medicinal herb discovered</t>
  </si>
  <si>
    <t>4.Flesh torn</t>
  </si>
  <si>
    <t>5.Inflation</t>
  </si>
  <si>
    <t>6.Reading of will</t>
  </si>
  <si>
    <t>7.Withdrawal</t>
  </si>
  <si>
    <t>8.Selling items without a license</t>
  </si>
  <si>
    <t>9.Black hole discovered</t>
  </si>
  <si>
    <t>10.Trip and fall</t>
  </si>
  <si>
    <t>11.Emergency</t>
  </si>
  <si>
    <t>12.Selling defective goods</t>
  </si>
  <si>
    <t>13.Religious ceremony</t>
  </si>
  <si>
    <t>14.Eyes watering/tearing</t>
  </si>
  <si>
    <t>15.Reinforcements arrive</t>
  </si>
  <si>
    <t>16.Reaction</t>
  </si>
  <si>
    <t>17.Death of a celebrity</t>
  </si>
  <si>
    <t>18.Disagreement</t>
  </si>
  <si>
    <t>19.Extraordinary astrological occurrence</t>
  </si>
  <si>
    <t>20.Divorce</t>
  </si>
  <si>
    <t>21.Enlargement</t>
  </si>
  <si>
    <t>22.False identity</t>
  </si>
  <si>
    <t>23.Valuable item sold unaware of value</t>
  </si>
  <si>
    <t>24.Vehicle theft</t>
  </si>
  <si>
    <t>25.Blinded by sand</t>
  </si>
  <si>
    <t>26.Ambassador departs</t>
  </si>
  <si>
    <t>27.Measurement of time</t>
  </si>
  <si>
    <t>28.Star goes nova</t>
  </si>
  <si>
    <t>29.Harboring a criminal</t>
  </si>
  <si>
    <t>30.Portal opens</t>
  </si>
  <si>
    <t>31.Pressed with heavy weight</t>
  </si>
  <si>
    <t>32.Forced to torture someone else</t>
  </si>
  <si>
    <t>33.False fortune tellers encountered</t>
  </si>
  <si>
    <t>34.Feud ceases</t>
  </si>
  <si>
    <t>35.Tortured on the rack</t>
  </si>
  <si>
    <t>36.Hiccup</t>
  </si>
  <si>
    <t>37.Someone does something stupid</t>
  </si>
  <si>
    <t>38.Abandonment</t>
  </si>
  <si>
    <t>39.Accessory to murder</t>
  </si>
  <si>
    <t>40.Fugitive captured</t>
  </si>
  <si>
    <t>41.Death of a neighbor</t>
  </si>
  <si>
    <t>42.Shipwreck</t>
  </si>
  <si>
    <t>43.Religious fanaticism</t>
  </si>
  <si>
    <t>44.Revenge</t>
  </si>
  <si>
    <t>45.Someone has a seizure</t>
  </si>
  <si>
    <t>46.Flesh eaten by ants</t>
  </si>
  <si>
    <t>47.Retreat</t>
  </si>
  <si>
    <t>48.Embezzlement</t>
  </si>
  <si>
    <t>49.Payment due</t>
  </si>
  <si>
    <t>50.Sunset</t>
  </si>
  <si>
    <t>51.Death of a pet</t>
  </si>
  <si>
    <t>52.Rebellion</t>
  </si>
  <si>
    <t>53.Death of a wild animal</t>
  </si>
  <si>
    <t>54.Garbling</t>
  </si>
  <si>
    <t>55.Measurement of quality</t>
  </si>
  <si>
    <t>56.Impersonating a law officer</t>
  </si>
  <si>
    <t>57.Rumor discovered to be true</t>
  </si>
  <si>
    <t>58.Obstruction of justice</t>
  </si>
  <si>
    <t>59.Death of a relative</t>
  </si>
  <si>
    <t>60.Fleeing from abusive relationship</t>
  </si>
  <si>
    <t>61.Debt comes due</t>
  </si>
  <si>
    <t>62.Genital crushing</t>
  </si>
  <si>
    <t>63.Complaint filed</t>
  </si>
  <si>
    <t>64.'Relative' discovered not to be blood relative</t>
  </si>
  <si>
    <t>65.Lightning strike</t>
  </si>
  <si>
    <t>66.Conducting business without a license</t>
  </si>
  <si>
    <t>67.Planting false evidence</t>
  </si>
  <si>
    <t>68.Tower toppled</t>
  </si>
  <si>
    <t>69.Bluff called</t>
  </si>
  <si>
    <t>70.Governing authority overthrown</t>
  </si>
  <si>
    <t>71.Vandalism</t>
  </si>
  <si>
    <t>72.Manslaughter</t>
  </si>
  <si>
    <t>73.Tortured</t>
  </si>
  <si>
    <t>74.Receiving stolen goods</t>
  </si>
  <si>
    <t>75.Bones shattered</t>
  </si>
  <si>
    <t>76.Inheritance received</t>
  </si>
  <si>
    <t>77.Person laughs at something not funny</t>
  </si>
  <si>
    <t>78.Political election</t>
  </si>
  <si>
    <t>79.Gain an advantage</t>
  </si>
  <si>
    <t>80.Wedding anniversary</t>
  </si>
  <si>
    <t>81.Shooting star</t>
  </si>
  <si>
    <t>82.Race won</t>
  </si>
  <si>
    <t>83.Contract signed</t>
  </si>
  <si>
    <t>84.Valuable item misplaced</t>
  </si>
  <si>
    <t>85.Attraction</t>
  </si>
  <si>
    <t>86.Desertion</t>
  </si>
  <si>
    <t>87.Interrogation</t>
  </si>
  <si>
    <t>88.Famous person arrives</t>
  </si>
  <si>
    <t>89.Bountiful harvest</t>
  </si>
  <si>
    <t>90.Heart attack</t>
  </si>
  <si>
    <t>91.Grief</t>
  </si>
  <si>
    <t>92.Return of a missing pet</t>
  </si>
  <si>
    <t>93.Exorcism</t>
  </si>
  <si>
    <t>94.Drugging</t>
  </si>
  <si>
    <t>95.Swindling</t>
  </si>
  <si>
    <t>96.Cowardice in the face of the enemy</t>
  </si>
  <si>
    <t>97.Balance lost</t>
  </si>
  <si>
    <t>98.Artistic masterpiece destroyed</t>
  </si>
  <si>
    <t>99.Alimony not received</t>
  </si>
  <si>
    <t>100.Caravan departs</t>
  </si>
  <si>
    <t>1.Contest</t>
  </si>
  <si>
    <t>2.Coercion</t>
  </si>
  <si>
    <t>3.Bitterness</t>
  </si>
  <si>
    <t>4.Drunkenness</t>
  </si>
  <si>
    <t>5.Phony charity seeks donation</t>
  </si>
  <si>
    <t>6.Wreck found</t>
  </si>
  <si>
    <t>7.Breaking and Entering</t>
  </si>
  <si>
    <t>8.Scalped</t>
  </si>
  <si>
    <t>9.Miscarriage of justice</t>
  </si>
  <si>
    <t>10.Adultery</t>
  </si>
  <si>
    <t>11.Hostage taken</t>
  </si>
  <si>
    <t>12.Duel</t>
  </si>
  <si>
    <t>13.Disturbing the peace</t>
  </si>
  <si>
    <t>14.Hiding</t>
  </si>
  <si>
    <t>15.Stray animal attacks</t>
  </si>
  <si>
    <t>16.Truth is told</t>
  </si>
  <si>
    <t>17.New technique discovered</t>
  </si>
  <si>
    <t>18.Hostage killed</t>
  </si>
  <si>
    <t>19.Old acquaintance departs</t>
  </si>
  <si>
    <t>20.Deafness</t>
  </si>
  <si>
    <t>21.Equality</t>
  </si>
  <si>
    <t>22.Boiled in oil</t>
  </si>
  <si>
    <t>23.Blizzard</t>
  </si>
  <si>
    <t>24.Imprisonment</t>
  </si>
  <si>
    <t>25.Heresy</t>
  </si>
  <si>
    <t>26.Trial</t>
  </si>
  <si>
    <t>27.Tax rate changed</t>
  </si>
  <si>
    <t>28.New governing authority established</t>
  </si>
  <si>
    <t>29.Peeping</t>
  </si>
  <si>
    <t>30.Strong wind blows</t>
  </si>
  <si>
    <t>31.Redemption</t>
  </si>
  <si>
    <t>33.Flood</t>
  </si>
  <si>
    <t>34.Death of an acquaintance</t>
  </si>
  <si>
    <t>35.Treaty made</t>
  </si>
  <si>
    <t>36.Famous person departs</t>
  </si>
  <si>
    <t>37.Tournament</t>
  </si>
  <si>
    <t>38.Abortion</t>
  </si>
  <si>
    <t>39.Assassination attempt fails</t>
  </si>
  <si>
    <t>40.Valuables found but owner unknown</t>
  </si>
  <si>
    <t>41.Reparations</t>
  </si>
  <si>
    <t>42.Measurement of item</t>
  </si>
  <si>
    <t>43.Rumor discovered to be false</t>
  </si>
  <si>
    <t>44.Inciting to riot</t>
  </si>
  <si>
    <t>45.Measurement of substance</t>
  </si>
  <si>
    <t>46.New nation formed</t>
  </si>
  <si>
    <t>47.Salting a wound</t>
  </si>
  <si>
    <t>48.Bones crushed</t>
  </si>
  <si>
    <t>49.Curse lifted</t>
  </si>
  <si>
    <t>50.Splinter in finger</t>
  </si>
  <si>
    <t>51.Identical twins encountered</t>
  </si>
  <si>
    <t>52.Perjury</t>
  </si>
  <si>
    <t>53.Child abuse</t>
  </si>
  <si>
    <t>54.Burned alive</t>
  </si>
  <si>
    <t>55.Bones broken</t>
  </si>
  <si>
    <t>56.Protection granted</t>
  </si>
  <si>
    <t>57.Archeological discovery</t>
  </si>
  <si>
    <t>58.Amputation</t>
  </si>
  <si>
    <t>59.Terrorist activity</t>
  </si>
  <si>
    <t>60.Genocide</t>
  </si>
  <si>
    <t>61.Search for a fugitive</t>
  </si>
  <si>
    <t>62.Neutrality</t>
  </si>
  <si>
    <t>63.Volcanic Eruption</t>
  </si>
  <si>
    <t>64.New planet discovered</t>
  </si>
  <si>
    <t>65.Pretending to change sides</t>
  </si>
  <si>
    <t>66.Beating</t>
  </si>
  <si>
    <t>67.'Miracle' drug/herb for sale</t>
  </si>
  <si>
    <t>68.Disappearance of large item</t>
  </si>
  <si>
    <t>69.Deviant sexual behavior</t>
  </si>
  <si>
    <t>70.Recruitment for military</t>
  </si>
  <si>
    <t>71.Fright</t>
  </si>
  <si>
    <t>72.Marriage</t>
  </si>
  <si>
    <t>73.Forced to watch someone else being killed</t>
  </si>
  <si>
    <t>74.Leper encountered</t>
  </si>
  <si>
    <t>75.Exile</t>
  </si>
  <si>
    <t>76.Extinction of a species</t>
  </si>
  <si>
    <t>77.Lost temper</t>
  </si>
  <si>
    <t>78.Blinded in one eye</t>
  </si>
  <si>
    <t>79.Dragged</t>
  </si>
  <si>
    <t>80.Screaming</t>
  </si>
  <si>
    <t>81.Drowning</t>
  </si>
  <si>
    <t>82.Favor given</t>
  </si>
  <si>
    <t>83.Reversal of fortune</t>
  </si>
  <si>
    <t>84.Burglary</t>
  </si>
  <si>
    <t>85.Fleeing from enemy</t>
  </si>
  <si>
    <t>86.Prostitution</t>
  </si>
  <si>
    <t>87.Funeral</t>
  </si>
  <si>
    <t>88.Sedition</t>
  </si>
  <si>
    <t>89.Starvation</t>
  </si>
  <si>
    <t>90.Eclipse of moon</t>
  </si>
  <si>
    <t>91.Discovery of species thought to be extinct</t>
  </si>
  <si>
    <t>92.Protest</t>
  </si>
  <si>
    <t>93.Accident while traveling</t>
  </si>
  <si>
    <t>94.Sneezing</t>
  </si>
  <si>
    <t>95.Pet goes missing</t>
  </si>
  <si>
    <t>96.Accidental dismemberment</t>
  </si>
  <si>
    <t>97.Hospitality denied</t>
  </si>
  <si>
    <t>98.Playing dead</t>
  </si>
  <si>
    <t>99.Return of a missing person</t>
  </si>
  <si>
    <t>100.Misery</t>
  </si>
  <si>
    <t>Dragged</t>
  </si>
  <si>
    <t>Portal opens</t>
  </si>
  <si>
    <t>Innocent bystander killed</t>
  </si>
  <si>
    <t>New land discovered</t>
  </si>
  <si>
    <t>Feuding</t>
  </si>
  <si>
    <t>Alimony not received</t>
  </si>
  <si>
    <t>Disobeying a lawful order</t>
  </si>
  <si>
    <t>Coughing</t>
  </si>
  <si>
    <t>Smuggling</t>
  </si>
  <si>
    <t>Someone does something funny</t>
  </si>
  <si>
    <t>Fleeing from justice</t>
  </si>
  <si>
    <t>Discovery that someone is adopted</t>
  </si>
  <si>
    <t>Peeping</t>
  </si>
  <si>
    <t>Deviant sexual behavior</t>
  </si>
  <si>
    <t>Counteraction</t>
  </si>
  <si>
    <t>Brawl</t>
  </si>
  <si>
    <t>Inquiry</t>
  </si>
  <si>
    <t>Bigamy</t>
  </si>
  <si>
    <t>Street gang encountered</t>
  </si>
  <si>
    <t>Slander</t>
  </si>
  <si>
    <t>Lying</t>
  </si>
  <si>
    <t>New building or structure constructed</t>
  </si>
  <si>
    <t>Attraction</t>
  </si>
  <si>
    <t>Adoption</t>
  </si>
  <si>
    <t>Birthday celebration</t>
  </si>
  <si>
    <t>Fleeing from slavery</t>
  </si>
  <si>
    <t>Reinforcements arrive</t>
  </si>
  <si>
    <t>Low tide</t>
  </si>
  <si>
    <t>New technique discovered</t>
  </si>
  <si>
    <t>Assault</t>
  </si>
  <si>
    <t>Search for a fugitive</t>
  </si>
  <si>
    <t>Expansion</t>
  </si>
  <si>
    <t>Desertion</t>
  </si>
  <si>
    <t>Animal theft</t>
  </si>
  <si>
    <t>Slaves sold</t>
  </si>
  <si>
    <t>Selling defective goods</t>
  </si>
  <si>
    <t>Avalanche</t>
  </si>
  <si>
    <t>Sex</t>
  </si>
  <si>
    <t>Forced to kill someone else</t>
  </si>
  <si>
    <t>Return of a missing person</t>
  </si>
  <si>
    <t>Contract broken</t>
  </si>
  <si>
    <t>Assassination attempt fails</t>
  </si>
  <si>
    <t>Becomes feverish</t>
  </si>
  <si>
    <t>Substance freezes</t>
  </si>
  <si>
    <t>Stray animal attacks</t>
  </si>
  <si>
    <t>Piracy</t>
  </si>
  <si>
    <t>Fleeing from enemy</t>
  </si>
  <si>
    <t>Air turbulance</t>
  </si>
  <si>
    <t>Bad mood</t>
  </si>
  <si>
    <t>Hanging</t>
  </si>
  <si>
    <t>Valuable item dropped</t>
  </si>
  <si>
    <t>Encounter with organized crime</t>
  </si>
  <si>
    <t>New lands created (e.g., by earthquake)</t>
  </si>
  <si>
    <t>Hair extraction</t>
  </si>
  <si>
    <t>Publicly Humiliated</t>
  </si>
  <si>
    <t>Harboring a fugitive</t>
  </si>
  <si>
    <t>Eclipse of sun</t>
  </si>
  <si>
    <t>Portal closes</t>
  </si>
  <si>
    <t>Vandalism</t>
  </si>
  <si>
    <t>Blizzard</t>
  </si>
  <si>
    <t>Balance maintained</t>
  </si>
  <si>
    <t>Conducting business without a license</t>
  </si>
  <si>
    <t>Reparations</t>
  </si>
  <si>
    <t>Genital crushing</t>
  </si>
  <si>
    <t>Pornographic items sold</t>
  </si>
  <si>
    <t>Truth is hidden</t>
  </si>
  <si>
    <t>Insanity</t>
  </si>
  <si>
    <t>Inciting to riot</t>
  </si>
  <si>
    <t>Collision</t>
  </si>
  <si>
    <t>Agreement reached</t>
  </si>
  <si>
    <t>Tornado</t>
  </si>
  <si>
    <t>Crucified</t>
  </si>
  <si>
    <t>Trial</t>
  </si>
  <si>
    <t>Religious fanaticism</t>
  </si>
  <si>
    <t>Branded</t>
  </si>
  <si>
    <t>Screams heard in distance</t>
  </si>
  <si>
    <t>Accessory to murder</t>
  </si>
  <si>
    <t>Rumor discovered to be false</t>
  </si>
  <si>
    <t>Religious visitation</t>
  </si>
  <si>
    <t>Comet appears</t>
  </si>
  <si>
    <t>Measurement of item</t>
  </si>
  <si>
    <t>Separation</t>
  </si>
  <si>
    <t>Misery</t>
  </si>
  <si>
    <t>Hostage taken</t>
  </si>
  <si>
    <t>Extortion</t>
  </si>
  <si>
    <t>Sound comes from unexpected place</t>
  </si>
  <si>
    <t>Ambassador arrives</t>
  </si>
  <si>
    <t>Insects swarm</t>
  </si>
  <si>
    <t>Amputation</t>
  </si>
  <si>
    <t>High tide</t>
  </si>
  <si>
    <t>Head twisting</t>
  </si>
  <si>
    <t>Decapitated</t>
  </si>
  <si>
    <t>Person goes missing</t>
  </si>
  <si>
    <t>Race lost</t>
  </si>
  <si>
    <t>Rib cracked</t>
  </si>
  <si>
    <t>Burglary</t>
  </si>
  <si>
    <t>Bluff called</t>
  </si>
  <si>
    <t>Arson</t>
  </si>
  <si>
    <t>Struck by poison dart</t>
  </si>
  <si>
    <t>Forced march</t>
  </si>
  <si>
    <t>Phony charity seeks donation</t>
  </si>
  <si>
    <t>Castration</t>
  </si>
  <si>
    <t>Enlargement</t>
  </si>
  <si>
    <t>Sky darkened by flock of birds</t>
  </si>
  <si>
    <t>Coma</t>
  </si>
  <si>
    <t>Garbling</t>
  </si>
  <si>
    <t>Mutiny</t>
  </si>
  <si>
    <t>Fingernails pulled out</t>
  </si>
  <si>
    <t>Abortion</t>
  </si>
  <si>
    <t>Star goes nova</t>
  </si>
  <si>
    <t>Gain an advantage</t>
  </si>
  <si>
    <t>Concealment of birth</t>
  </si>
  <si>
    <t>Protection removed</t>
  </si>
  <si>
    <t>Negligence</t>
  </si>
  <si>
    <t>Disease contracted</t>
  </si>
  <si>
    <t>Search for an item</t>
  </si>
  <si>
    <t>Innocent bystander disfigured</t>
  </si>
  <si>
    <t>Eye peeking through hole</t>
  </si>
  <si>
    <t>Hostage killed</t>
  </si>
  <si>
    <t>Valuable item misplaced</t>
  </si>
  <si>
    <t>Pornographic items found</t>
  </si>
  <si>
    <t>Musical performance</t>
  </si>
  <si>
    <t>Shooting star</t>
  </si>
  <si>
    <t>New species of animal discovered</t>
  </si>
  <si>
    <t>Shouting</t>
  </si>
  <si>
    <t>Discovery of species thought to be extinct</t>
  </si>
  <si>
    <t>Illness</t>
  </si>
  <si>
    <t>Murder</t>
  </si>
  <si>
    <t>Person grows weaker</t>
  </si>
  <si>
    <t>Exile</t>
  </si>
  <si>
    <t>Drugging</t>
  </si>
  <si>
    <t>Bluffing</t>
  </si>
  <si>
    <t>City / village razed</t>
  </si>
  <si>
    <t>Libel</t>
  </si>
  <si>
    <t>Eclipse of moon</t>
  </si>
  <si>
    <t>Loitering</t>
  </si>
  <si>
    <t>Blinded by dust</t>
  </si>
  <si>
    <t>Hospitality denied</t>
  </si>
  <si>
    <t>'Miracle' drug/herb for sale</t>
  </si>
  <si>
    <t>Comparison made</t>
  </si>
  <si>
    <t>Hurricane</t>
  </si>
  <si>
    <t>Tide comes in</t>
  </si>
  <si>
    <t>Orphaned</t>
  </si>
  <si>
    <t>Sacrifice</t>
  </si>
  <si>
    <t>Burned alive</t>
  </si>
  <si>
    <t>Confession to a crime</t>
  </si>
  <si>
    <t>Treaty made</t>
  </si>
  <si>
    <t>Human trafficking</t>
  </si>
  <si>
    <t>Pornographic items created</t>
  </si>
  <si>
    <t>Spying</t>
  </si>
  <si>
    <t>Teeth pulled</t>
  </si>
  <si>
    <t>Pilgrimage</t>
  </si>
  <si>
    <t>Mediocrity</t>
  </si>
  <si>
    <t>Crime wave</t>
  </si>
  <si>
    <t>Indecent exposure</t>
  </si>
  <si>
    <t>Riot</t>
  </si>
  <si>
    <t>Lost temper</t>
  </si>
  <si>
    <t>Pillaging</t>
  </si>
  <si>
    <t>Blinded in one eye</t>
  </si>
  <si>
    <t>Stray pet found</t>
  </si>
  <si>
    <t>Truth is discovered</t>
  </si>
  <si>
    <t>Serial killings</t>
  </si>
  <si>
    <t>Indemnification</t>
  </si>
  <si>
    <t>Immersed in hot liquid</t>
  </si>
  <si>
    <t>Destruction of property</t>
  </si>
  <si>
    <t>Reproduction sold as original</t>
  </si>
  <si>
    <t>Target practice</t>
  </si>
  <si>
    <t>Grave robbery</t>
  </si>
  <si>
    <t>Prison break</t>
  </si>
  <si>
    <t>New race discovered</t>
  </si>
  <si>
    <t>Garroting</t>
  </si>
  <si>
    <t>Screaming</t>
  </si>
  <si>
    <t>Ownership of land changes</t>
  </si>
  <si>
    <t>Governing authority resigns</t>
  </si>
  <si>
    <t>Ownership of valuable item changes</t>
  </si>
  <si>
    <t>Compensation</t>
  </si>
  <si>
    <t>Inequality</t>
  </si>
  <si>
    <t>Pet is stolen</t>
  </si>
  <si>
    <t>Ascension</t>
  </si>
  <si>
    <t>Blinded in both eyes</t>
  </si>
  <si>
    <t>Discrimination</t>
  </si>
  <si>
    <t>Siege</t>
  </si>
  <si>
    <t>Knifed</t>
  </si>
  <si>
    <t>Troop movement</t>
  </si>
  <si>
    <t>Eye gouged out</t>
  </si>
  <si>
    <t>Alignment of planets</t>
  </si>
  <si>
    <t>Ownership of pet changes</t>
  </si>
  <si>
    <t>Shot</t>
  </si>
  <si>
    <t>New medicinal herb discovered</t>
  </si>
  <si>
    <t>Flesh torn</t>
  </si>
  <si>
    <t>Inflation</t>
  </si>
  <si>
    <t>Reading of will</t>
  </si>
  <si>
    <t>Withdrawal</t>
  </si>
  <si>
    <t>Selling items without a license</t>
  </si>
  <si>
    <t>Black hole discovered</t>
  </si>
  <si>
    <t>Trip and fall</t>
  </si>
  <si>
    <t>Emergency</t>
  </si>
  <si>
    <t>Religious ceremony</t>
  </si>
  <si>
    <t>Eyes watering/tearing</t>
  </si>
  <si>
    <t>Reaction</t>
  </si>
  <si>
    <t>Death of a celebrity</t>
  </si>
  <si>
    <t>Disagreement</t>
  </si>
  <si>
    <t>Extraordinary astrological occurrence</t>
  </si>
  <si>
    <t>Divorce</t>
  </si>
  <si>
    <t>False identity</t>
  </si>
  <si>
    <t>Valuable item sold unaware of value</t>
  </si>
  <si>
    <t>Vehicle theft</t>
  </si>
  <si>
    <t>Blinded by sand</t>
  </si>
  <si>
    <t>Ambassador departs</t>
  </si>
  <si>
    <t>Measurement of time</t>
  </si>
  <si>
    <t>Harboring a criminal</t>
  </si>
  <si>
    <t>Pressed with heavy weight</t>
  </si>
  <si>
    <t>Forced to torture someone else</t>
  </si>
  <si>
    <t>Feud ceases</t>
  </si>
  <si>
    <t>Tortured on the rack</t>
  </si>
  <si>
    <t>Hiccup</t>
  </si>
  <si>
    <t>Someone does something stupid</t>
  </si>
  <si>
    <t>Abandonment</t>
  </si>
  <si>
    <t>Fugitive captured</t>
  </si>
  <si>
    <t>Death of a neighbor</t>
  </si>
  <si>
    <t>Shipwreck</t>
  </si>
  <si>
    <t>Revenge</t>
  </si>
  <si>
    <t>Someone has a seizure</t>
  </si>
  <si>
    <t>Flesh eaten by ants</t>
  </si>
  <si>
    <t>Retreat</t>
  </si>
  <si>
    <t>Embezzlement</t>
  </si>
  <si>
    <t>Payment due</t>
  </si>
  <si>
    <t>Sunset</t>
  </si>
  <si>
    <t>Death of a pet</t>
  </si>
  <si>
    <t>Rebellion</t>
  </si>
  <si>
    <t>Death of a wild animal</t>
  </si>
  <si>
    <t>Measurement of quality</t>
  </si>
  <si>
    <t>Impersonating a law officer</t>
  </si>
  <si>
    <t>Rumor discovered to be true</t>
  </si>
  <si>
    <t>Obstruction of justice</t>
  </si>
  <si>
    <t>Death of a relative</t>
  </si>
  <si>
    <t>Fleeing from abusive relationship</t>
  </si>
  <si>
    <t>Debt comes due</t>
  </si>
  <si>
    <t>Complaint filed</t>
  </si>
  <si>
    <t>'Relative' discovered not to be blood relative</t>
  </si>
  <si>
    <t>Lightning strike</t>
  </si>
  <si>
    <t>Planting false evidence</t>
  </si>
  <si>
    <t>Tower toppled</t>
  </si>
  <si>
    <t>Governing authority overthrown</t>
  </si>
  <si>
    <t>Manslaughter</t>
  </si>
  <si>
    <t>Tortured</t>
  </si>
  <si>
    <t>Receiving stolen goods</t>
  </si>
  <si>
    <t>Bones shattered</t>
  </si>
  <si>
    <t>Inheritance received</t>
  </si>
  <si>
    <t>Person laughs at something not funny</t>
  </si>
  <si>
    <t>Political election</t>
  </si>
  <si>
    <t>Wedding anniversary</t>
  </si>
  <si>
    <t>Race won</t>
  </si>
  <si>
    <t>Contract signed</t>
  </si>
  <si>
    <t>Interrogation</t>
  </si>
  <si>
    <t>Famous person arrives</t>
  </si>
  <si>
    <t>Bountiful harvest</t>
  </si>
  <si>
    <t>Heart attack</t>
  </si>
  <si>
    <t>Grief</t>
  </si>
  <si>
    <t>Return of a missing pet</t>
  </si>
  <si>
    <t>Exorcism</t>
  </si>
  <si>
    <t>Swindling</t>
  </si>
  <si>
    <t>Cowardice in the face of the enemy</t>
  </si>
  <si>
    <t>Balance lost</t>
  </si>
  <si>
    <t>Artistic masterpiece destroyed</t>
  </si>
  <si>
    <t>Caravan departs</t>
  </si>
  <si>
    <t>Contest</t>
  </si>
  <si>
    <t>Coercion</t>
  </si>
  <si>
    <t>Bitterness</t>
  </si>
  <si>
    <t>Drunkenness</t>
  </si>
  <si>
    <t>Wreck found</t>
  </si>
  <si>
    <t>Breaking and Entering</t>
  </si>
  <si>
    <t>Scalped</t>
  </si>
  <si>
    <t>Miscarriage of justice</t>
  </si>
  <si>
    <t>Adultery</t>
  </si>
  <si>
    <t>Disturbing the peace</t>
  </si>
  <si>
    <t>Hiding</t>
  </si>
  <si>
    <t>Truth is told</t>
  </si>
  <si>
    <t>Old acquaintance departs</t>
  </si>
  <si>
    <t>Deafness</t>
  </si>
  <si>
    <t>Equality</t>
  </si>
  <si>
    <t>Boiled in oil</t>
  </si>
  <si>
    <t>Imprisonment</t>
  </si>
  <si>
    <t>Heresy</t>
  </si>
  <si>
    <t>Tax rate changed</t>
  </si>
  <si>
    <t>New governing authority established</t>
  </si>
  <si>
    <t>Strong wind blows</t>
  </si>
  <si>
    <t>Redemption</t>
  </si>
  <si>
    <t>Flood</t>
  </si>
  <si>
    <t>Death of an acquaintance</t>
  </si>
  <si>
    <t>Famous person departs</t>
  </si>
  <si>
    <t>Tournament</t>
  </si>
  <si>
    <t>Valuables found but owner unknown</t>
  </si>
  <si>
    <t>Measurement of substance</t>
  </si>
  <si>
    <t>New nation formed</t>
  </si>
  <si>
    <t>Salting a wound</t>
  </si>
  <si>
    <t>Bones crushed</t>
  </si>
  <si>
    <t>Curse lifted</t>
  </si>
  <si>
    <t>Splinter in finger</t>
  </si>
  <si>
    <t>Identical twins encountered</t>
  </si>
  <si>
    <t>Perjury</t>
  </si>
  <si>
    <t>Child abuse</t>
  </si>
  <si>
    <t>Bones broken</t>
  </si>
  <si>
    <t>Protection granted</t>
  </si>
  <si>
    <t>Archeological discovery</t>
  </si>
  <si>
    <t>Terrorist activity</t>
  </si>
  <si>
    <t>Genocide</t>
  </si>
  <si>
    <t>Neutrality</t>
  </si>
  <si>
    <t>Volcanic Eruption</t>
  </si>
  <si>
    <t>New planet discovered</t>
  </si>
  <si>
    <t>Pretending to change sides</t>
  </si>
  <si>
    <t>Beating</t>
  </si>
  <si>
    <t>Disappearance of large item</t>
  </si>
  <si>
    <t>Recruitment for military</t>
  </si>
  <si>
    <t>Fright</t>
  </si>
  <si>
    <t>Forced to watch someone else being killed</t>
  </si>
  <si>
    <t>Extinction of a species</t>
  </si>
  <si>
    <t>Favor given</t>
  </si>
  <si>
    <t>Reversal of fortune</t>
  </si>
  <si>
    <t>Prostitution</t>
  </si>
  <si>
    <t>Funeral</t>
  </si>
  <si>
    <t>Sedition</t>
  </si>
  <si>
    <t>Starvation</t>
  </si>
  <si>
    <t>Protest</t>
  </si>
  <si>
    <t>Accident while traveling</t>
  </si>
  <si>
    <t>Sneezing</t>
  </si>
  <si>
    <t>Pet goes missing</t>
  </si>
  <si>
    <t>Accidental dismemberment</t>
  </si>
  <si>
    <t>Playing dead</t>
  </si>
  <si>
    <t>x</t>
  </si>
  <si>
    <t>Several religious groups make a pilgrimage to the capital city, offering to set up a religious community. Next turn you can build a Monastery for half BP cost.</t>
  </si>
  <si>
    <t>A dwarven stonemason offers to help in the construction of a city wall for half BP cost next turn.</t>
  </si>
  <si>
    <t>Press Gang Adventurers</t>
  </si>
  <si>
    <t>Some adventurers decide to stay in the city and surpport the growth of the new kingdom, offering themselves to the Council as advisors or specialist workers. Either increase the treasury by 2 BP or add two new Minor Items (if appropriate).</t>
  </si>
  <si>
    <t>Adventurer Assistance</t>
  </si>
  <si>
    <t xml:space="preserve">Farmers produce an unexpected windfall! Your Consumption is halved (round up fractions) during the next Upkeep phase. </t>
  </si>
  <si>
    <t>One of the NPC Council members has to leave for the month to attend to important personal business (randomly determine which one). Count their position as vacant until the end of the next Event phase.</t>
  </si>
  <si>
    <t>A nearby quarry yields some excellent aggregate to build roads. You can build one extra road at no cost next turn, ignoring any limitations.</t>
  </si>
  <si>
    <t>A structural engineer decides to assist in the construction of a bridge. Until the end of the next Event phase you can bridge one river with a road at no additional cost.</t>
  </si>
  <si>
    <t>[NO MAGIC SHOP = NON-EVENT] A renowned Sage from a nearby kingdom visits the capital city and stays for a few weeks. Add or replace up to three Minor Items and one Major Item in a magic store in a city.</t>
  </si>
  <si>
    <t>An ambassador from a nearby town or state visits the kingdom to offer treaties and arrange for trade agreements, bringing 1d6+2 BP into the kingdoms coffers.</t>
  </si>
  <si>
    <t>[CONTINUOUS, NO FARMS = NON-EVENT] Some cattle rustlers begin stealing livestock. Make a Stability check or increase Unrest by 2 each month until they are caught and dealt with.</t>
  </si>
  <si>
    <t>Several of the City Guard get a bit rough-handed with the locals, increasing Unrest by 2.</t>
  </si>
  <si>
    <t>One of the Council celebrates their birthday! Add 1 BP to the treasury due to the generous bounty of gifts!</t>
  </si>
  <si>
    <t xml:space="preserve">  </t>
  </si>
  <si>
    <t>False fortune tellers</t>
  </si>
  <si>
    <t>A local criminal or petty thief is hunted down and captured by the City Guard, put in the stocks to make an example of him. Reduce Unrest by 2.</t>
  </si>
  <si>
    <t>[NO CEMETERY = NON-EVENT] An unscrupulous doctor begins taking bodies from their graves to carry out medical experiments. The populace becomes upset, make a Loyalty check or increase Unrest by 2.</t>
  </si>
  <si>
    <t>A group of lepers moves through the kingdom, ringing their bells and moving folornly from city to city. Make a Stability check or increase Unrest by 2 due to the fear amongst the people.</t>
  </si>
  <si>
    <t>A local child goes missing and the populace head out to search for them. Decrease Economy by 2 until the end of the next Event phase due to a reduced workforce.</t>
  </si>
  <si>
    <t>Wine, Women and Song!</t>
  </si>
  <si>
    <t>The public decides it needs more entertainment buildings to provide for the local populace, offering to help in its construction. One tavern, inn, brothel or theatre can be built at half cost next month.</t>
  </si>
  <si>
    <t>Several fights break out in an inn or tavern, spilling out onto thr street! Spend 1 BP to fix the damage.</t>
  </si>
  <si>
    <t>Cursed!</t>
  </si>
  <si>
    <t>[CONTINUOUS] One of the NPC Council members (determine randomly) comes down with some form of sickness or poisoning. Until a cure is found, that persons post remains vacant.</t>
  </si>
  <si>
    <t>[CONTINUOUS] A band of fortune tellers set up shop in the capital city, predicting doom and gloom! Increase Unrest by 2 and make a Stability check to run them out of town before they do too much harm.</t>
  </si>
  <si>
    <t>Lepers</t>
  </si>
  <si>
    <t>A travelling salesman begins selling a so-called 'miracle' drug or herb which is snapped up by the local people. Reduce Stability by 2 until the next Event phase once they realise the 'miracle' is nothing of the sort!</t>
  </si>
  <si>
    <t>A group of disgruntled youths moves through the capital city, damaging shops and houses. Spend 1 BP to clean up the mess.</t>
  </si>
  <si>
    <t>[NO MAJOR ITEMS = NON-EVENT] One Major Item is unwittingly sold by the shop owner as a mere trinket. Randomly remove one such item from the kingdom.</t>
  </si>
  <si>
    <t>[CONTINUOUS] Someone targets the citizens to try and destabilize the kingdom! Make a Loyalty check to hunt down the terrorists or increase Unrest by 2 each month until they are captured.</t>
  </si>
  <si>
    <t>Bridge Destroyed!</t>
  </si>
  <si>
    <t>[NO BRIDGES = NON-EVENT] Recent storms have swollen rivers to unprecedented levels. One bridge (PC's choice) is destroyed by the floodwaters, removing the road in that hex.</t>
  </si>
  <si>
    <t>An astronomical event carries with it good luck to the populace, increasing Loyalty and Stability by 2 until the next Event phase.</t>
  </si>
  <si>
    <t>[NO WATER BORDER = NON-EVENT] A strange boat washes up on the shore, with strange markings and cargo of unknown origin. Increase the Treasury by 2 BP but reduce Stability by 2 due to fears of foreign invaders!</t>
  </si>
  <si>
    <t>Missing for several days, a local family, hunter or farmer shows up safe and well. Increase Stability by 2 until the next Event phase.</t>
  </si>
  <si>
    <t>[NO BROTHEL = NON-EVENT] The populace become unhappy with the flagrant disregard the local brothel has in flounting their wares. Make a Stability check or increase Unrest by 2.</t>
  </si>
  <si>
    <t>[NO NEW BUILDING = NON-EVENT] The citizens are pleased with the latest building addition to the city. Increase Loyalty by 2 until the next Event phase.</t>
  </si>
  <si>
    <t>A musical troupe makes its way through the kingdom, enthralling the population with their performance. Increase Loyalty by 2 until the next Event phase.</t>
  </si>
  <si>
    <t>[CONTINUOUS] A nearby monster or bandits raids a nearby farm, causing the workers to flee. Make a Defence check or the farm (determine randomly) is destroyed by the attack. The attacks continue until the check is made or the PC's deal with the attackers themselves (CR+1).</t>
  </si>
  <si>
    <t>[NO MOMUMENT = NON-EVENT] Someone vandalises a monument in one of your cities, destroying the edifice. Remove one monument of your choice from one city.</t>
  </si>
  <si>
    <t>A fair or market brings much interest and adds to the wealth of the kingdom, adding 1 BP to the Treaury.</t>
  </si>
  <si>
    <t>A thief makes a hit-and-run property grab in one of your cities! Make a Stability check to reassure the people or reduce Loyalty by 2 until the next Event phase.</t>
  </si>
  <si>
    <t>[CAPITAL CITY ONLY = NON-EVENT] Failing a Stability, Loyalty AND Economy check results in one of your villages or towns being mysteriously abandoned. Remove all buildings as if the settlement never existed!!</t>
  </si>
  <si>
    <t>A comet streaks across the sky, heralding change in the kingdom, for good or ill. If you make an Stability check, decrease Unrest by 2 otherwise increase it by 2.</t>
  </si>
  <si>
    <t>A local businessman confesses to criminal activity. Increase Loyalty by 2 until the next Event phase.</t>
  </si>
  <si>
    <t>Several bodies are found nailed to trees on the kingdom's border. Make a Stability check or increase Unrest by 2.</t>
  </si>
  <si>
    <t>Several families arrive in the kingdom fleeing from a nearby area, town or kingdom. Increase the Treasury by 1 BP due to the increased population and economic benefits.</t>
  </si>
  <si>
    <t>Event Name</t>
  </si>
  <si>
    <t>Event Text</t>
  </si>
  <si>
    <t>ID</t>
  </si>
  <si>
    <t>Animal Theft</t>
  </si>
  <si>
    <t>Archeological Discovery</t>
  </si>
  <si>
    <t>Artistic Monument Destroyed</t>
  </si>
  <si>
    <t>Bad Mood</t>
  </si>
  <si>
    <t>Birthday Celebration</t>
  </si>
  <si>
    <t>Caravan Departs</t>
  </si>
  <si>
    <t>Comet Appears</t>
  </si>
  <si>
    <t>Disease Contracted</t>
  </si>
  <si>
    <t>False Fortune Tellers</t>
  </si>
  <si>
    <t>Fugitive Captured</t>
  </si>
  <si>
    <t>New Building Pleasing</t>
  </si>
  <si>
    <t>Prison Break</t>
  </si>
  <si>
    <t>Terrorist Activity</t>
  </si>
  <si>
    <t>Valuable Item Sold for Pittance!</t>
  </si>
  <si>
    <t>[CAPITAL CITY ONLY = NON-EVENT] Failing a Stability, Loyalty AND Economy check results in one of your villages or towns being mysteriously abandoned/destroyed. Remove all buildings as if the settlement never existed!!</t>
  </si>
  <si>
    <t>A thief makes a hit-and-run loot grab in one of your cities! Make a Stability check to reassure the people or reduce Loyalty by 2 until the next Event phase.</t>
  </si>
  <si>
    <t>City / Village Razed</t>
  </si>
  <si>
    <t>Several bodies are found nailed to trees on the kingdom's border. Make a Stability check or increase Unrest by 3.</t>
  </si>
  <si>
    <t>[CONTINUOUS] A nearby monster or bandits raids a nearby farm, causing the workers to flee. Make a Stability check or the farm (determine randomly) is destroyed by the attack. The attacks continue until the check is made or the PC's deal with the attackers themselves (CR = PC Level+1).</t>
  </si>
  <si>
    <t>Political Upheaval</t>
  </si>
  <si>
    <t>Kingdom-wide politics takes a nasty turn as nobles and commoners alike bicker about the state of the nation's leadership. Increase Unrest by 2.</t>
  </si>
  <si>
    <t>[NO MAGIC SHOP = NON-EVENT] A renowned Sage from a nearby kingdom visits the capital city and stays for a few weeks. Add or replace up to three Minor Items and one Major Item in a magic store in a city (randomly generate replacements).</t>
  </si>
  <si>
    <t>Physician</t>
  </si>
  <si>
    <t>Building Type</t>
  </si>
  <si>
    <t>Water</t>
  </si>
  <si>
    <t>Land</t>
  </si>
  <si>
    <t>Border</t>
  </si>
  <si>
    <t>Lumber Camp</t>
  </si>
  <si>
    <t>A noble from another state wishes to use the kingdom’s facilities for their wedding, possibly owing to political or religious issues back home. If accepted, improve the disposition of that country’s leaders by one step, gain 2 BP as compensation and increased business, but gain 1 Unrest and a -2 penalty to Loyalty and Stability checks until your next Event phase from the commotion. If rejected, the kingdom’s ruler or grand diplomat must make a Diplomacy skill check to convince them why not; success subtracts 1 BP from the treasury as a wedding present, while failure worsens that country’s disposition by one step.</t>
  </si>
  <si>
    <t>A Necromancer from another kingdom starts up shop in your city. If your city has a graveyard you lose the bonuses from the Graveyard until you make a successful stability check and unrest increases by 2 as the dead sometimes wonder out into the street. If no Graveyard is present in any of your cities unrest increases by 4 until you make a successful stability check to remove the villain.</t>
  </si>
  <si>
    <t xml:space="preserve">The Dead Rise Again </t>
  </si>
  <si>
    <t xml:space="preserve">Some local Fey become annoyed with all of the new humans traveling through their woods. They decide to take matters into their own hands by interfering with travel and trade. -2 to Economy until you make a successful stability check and increase unrest by 2 . </t>
  </si>
  <si>
    <t xml:space="preserve">Mischievous Fey </t>
  </si>
  <si>
    <t xml:space="preserve">Hometown Hero </t>
  </si>
  <si>
    <t xml:space="preserve">Someone closely related or important to one of the NPC leaders has become deathly ill, suffered a fatal (or near-fatal) accident, or died (either from natural or unnatural reasons. The leader must take a leave of absence and is unable to perform their duty until the next event phase. Their attribute that contributes to the city's rolls do not apply until the next event phase. </t>
  </si>
  <si>
    <t xml:space="preserve">Family Emergency </t>
  </si>
  <si>
    <t xml:space="preserve">Eureka! </t>
  </si>
  <si>
    <t>Choose a hex dedicated to a mine (or camp or fishery etc); there has been a horrible accident involving the death of one or more employees. The hex provides no benefit to the kingdom until the next Event phase. Make a Stability check. Success indicates that the kingdom has been able to minimize the damage, requiring half the amount of BP to have the mine working to its effectiveness again. Failure indicates that full BP expenditure is required to gain effectiveness of that mine. Until rebuilt, the kingdom suffers 1 Unrest. (alternate: BP spent on edict ceremony commemorating the lost lives could perhaps remove the Unrest and provide double the bonus to the Loyalty check from the festival).</t>
  </si>
  <si>
    <t xml:space="preserve">Industrial Accident </t>
  </si>
  <si>
    <t>Someone else in your kingdom decided they needed the aid of adventurers, and hired a party of them on the side to deal with a hopefully minor problem. Their success or failure can have a ripple effect on the region: make an Economy, Stability, or Loyalty check, GM’s choice; success adds a +2 bonus to that given check until your next Event phase, while failure instead adds a -2 penalty for the same duration.</t>
  </si>
  <si>
    <t>They All Meet in a Tavern</t>
  </si>
  <si>
    <t>The populace decides to throw a major celebration on its own initiative. Until your next Event phase, treat the Festivals Edict as if it were one step higher at no additional Consumption cost.</t>
  </si>
  <si>
    <t>Party Time! Excellent!</t>
  </si>
  <si>
    <t>A neighboring country needs to move its troops, import personnel or war materiel or important personnel through your lands. If your kingdom allows this, increase the disposition of said kingdom’s leaders towards your kingdom’s leaders by one step, but if said disposition was not already at Indifferent or better, increase Unrest by 1 and you take a -2 penalty to all Stability and Loyalty checks until the following Event phase. If your kingdom refuses, decrease the disposition of said country’s leaders towards your country’s leaders by one step.</t>
  </si>
  <si>
    <t xml:space="preserve">Omen of the Faith </t>
  </si>
  <si>
    <t>A political envoy from one of your neighbors has come looking to set up trade relations. The players may choose to spend 4 BP and make a stability check. If successful, the kingdom gains a permanent +1 to economy checks. If the check fails, the kingdom gains 2 unrest as caravans are lost. If the players choose not to roll, they must make a loyalty check or risk insulting the foreign diplomat and angering local immigrants from the area, causing 1 unrest.</t>
  </si>
  <si>
    <t xml:space="preserve">Trade Route </t>
  </si>
  <si>
    <t>A wandering Varisian caravan visits one of your cities, along with a few suspected Sczarni. You gain a +2 bonus on Economy and Loyalty checks but suffer a -4 penalty on all Stability checks until your next Event Phase. In addition, until your next Event Phase, one random City District has 1 additional minor item slot and 1 medium item slot; these generate magic items on your next Upkeep Phase and can be bought by PC's or sold via the Income Phase as per normal; these slots and any unsold items disappear during the next Event Phase.</t>
  </si>
  <si>
    <t xml:space="preserve">Varisian Caravan </t>
  </si>
  <si>
    <t>News of one of your cities' greatness has inspired a new wave of immigrants to become vassals. Although they don't bring much in the way of wealth, they do help the local markets and workforce. Choose an empty city block in one of your City Districts; that block becomes a free House on your next Improvement Phase (this does count towards your global limit of Houses built in one Kingdom Turn). If you have no empty blocks in your prepared City Districts, this event is wasted.</t>
  </si>
  <si>
    <t xml:space="preserve">Population Boom </t>
  </si>
  <si>
    <t>A wandering surveyor offers to improve your maps of your kingdom. Make a Stability check; on a success, the surveyor reveals a hidden site on any claimed hex or hex the PC's have explored, or if they've found all sites on their explored hexes, the surveyor fully explores a new hex adjacent to the kingdom's borders, the PCs getting the exploration XP as normal. On a failed check, the surveyor is chased off by bad conditions or monsters, and tales of his expedition increase Unrest by 2.</t>
  </si>
  <si>
    <t xml:space="preserve">Surveyor </t>
  </si>
  <si>
    <t xml:space="preserve">Wedding in the Wilds (foreign policy) </t>
  </si>
  <si>
    <t xml:space="preserve">It’s More Likely Than You Think </t>
  </si>
  <si>
    <t xml:space="preserve">Practical Peripatetic Pedagogy </t>
  </si>
  <si>
    <t>[CONTINUOUS] A group of well-meaning Lawful adventurers, a notable paladin, or a hellknight takes up post in your kingdom. While this helps keep your kingdom stable, their ways don't mesh well with the River Freedoms and they frequently impede trade. You gain a +4 bonus on Stability checks, but take a -2 on Economy and Loyalty checks. They can be convinced to leave, but you must make a Loyalty check or the nation gains 2 Unrest as they leave on unfavorable terms.</t>
  </si>
  <si>
    <t>Meddling Do-Gooders</t>
  </si>
  <si>
    <t>Just Passing Through</t>
  </si>
  <si>
    <t>Detour</t>
  </si>
  <si>
    <t>[CONTINUOUS] Chose a random hex with a road that (eventually) connects to one of your cities. A catastrophe renders the road in this hex unusable until cleared and/or rebuilt. Unless action is taken, treat that hex as if it did not have a road for 1d4 turns, treating your overall number of road hexes as one lower and suffering a -1 penalty to Loyalty and Economy checks for an equal number of turns. This event can be ended early either by in-character action—such as directing troops or using magic to restore the region (as the GM sees fit)—or by spending an BP equal to what it would normally cost to build a road in that hex.</t>
  </si>
  <si>
    <t>Unusual Migrations</t>
  </si>
  <si>
    <t>Select one of the PCs at random, and select a skill they excel in or prefer. An expert in that field comes to your kingdom to challenge them in a public contest of that skill. Assume the expert has a modifier of +12 to that given skill; accepting the contest means a series of best-out-of-three opposed skill checks between the two, with no outside aid allowed. Success bolsters the PC’s reputation and makes their words and deeds carry that much more weight in the short term; double the bonus the PC grants to their kingdom from their chosen position until the following event phase. Failure disheartens the people, and more than likely the PC themselves; halve the bonus the PC grants instead (rounded down), and make a Stability check or gain 1 Unrest. If the challenge is outright rejected, make a Stability check or gain 2 Unrest, as the would-be challenger slanders the PC on his or her way back out of the region.</t>
  </si>
  <si>
    <t>Are You Asking for a Challenge?</t>
  </si>
  <si>
    <t>Maybe It Fell off a Wagon</t>
  </si>
  <si>
    <t>1d4 Random Increase Generator</t>
  </si>
  <si>
    <t>2d4 Random Increase Generator</t>
  </si>
  <si>
    <t xml:space="preserve">Cayden Cailean: You gain a number of BP equal to the total number of Breweries, Inns, and Taverns in your City Districts (minimum 2 BP). </t>
  </si>
  <si>
    <t xml:space="preserve">Calistria. You gain a +2 to Economy and Loyalty checks until the next Event phase; if none of your Districts contain a Brothel or Luxury Store, gain another 1 Unrest. </t>
  </si>
  <si>
    <t xml:space="preserve">Desna. You gain a +1 on Loyalty checks for every Academy and Monument your kingdom contains (minimum +2) until your next Event Phase. </t>
  </si>
  <si>
    <t xml:space="preserve">Gorum. Until your next Event Phase, the Consumption cost to maintain your armies is halved, and all of your armies gain a +2 bonus on Morale checks. </t>
  </si>
  <si>
    <t xml:space="preserve">Norgober. Each of your Alchemist and Herbalist buildings gains a temporary minor magic item slot until your next Event phase (see the Varisian Caravan event). You take a -6 penalty to Stability until your next Event phase; if none of your Districts contain an Alchemist or Herbalist, gain another 1 Unrest. </t>
  </si>
  <si>
    <t>Look What I Found!</t>
  </si>
  <si>
    <t xml:space="preserve">The item is cursed. The GM chooses an appropriate (and nasty) cursed item to unleash on the innocent discoverer, and potentially the locals. Make a Stability check: on a success, the kingdom or PCs deal with the item; on a failure, increase Unrest by 2. </t>
  </si>
  <si>
    <t xml:space="preserve">Add a temporary minor item slot to one random District until your next Event phase, immediately filling it. This item can be bought by PC’s or sold via the Income Phase as per normal; this slot and any unsold item disappear during the next Event Phase. </t>
  </si>
  <si>
    <t xml:space="preserve">Add a temporary medium item slot to one random District until your next Event phase, immediately filling it. This item can be bought by PC’s or sold via the Income Phase as per normal; this slot and any unsold item disappear during the next Event Phase. </t>
  </si>
  <si>
    <t xml:space="preserve">Add a temporary major item slot to one random District until your next Event phase, immediately filling it. This item can be bought by PC’s or sold via the Income Phase as per normal; this slot and any unsold item disappear during the next Event Phase. </t>
  </si>
  <si>
    <t>Vanished Without a Trace</t>
  </si>
  <si>
    <t>Diplomats from two at-odd powers decide to use your kingdom as neutral ground and an audience. Their bickering is both frustrating and puts the future of diplomatic relations with both countries at risk. The PCs may either intervene directly (with roleplaying or Diplomacy checks as appropriate) or you may make a Stability check. Success raises the disposition of either both countries towards you by one step OR if you choose to take sides, one country by two steps. Failure lowers the dispositions of both countries’ leaders towards your kingdom by one step, increase Unrest by 2, and imposes a -2 penalty on Stability checks until your next Event phase.</t>
  </si>
  <si>
    <t>Dueling Diplomats</t>
  </si>
  <si>
    <t>A war hero from a neighboring country seeks a quiet corner of the world to retire to and picks one of your cities. Choose a City District at random; the war hero’s experience and advice permanently increases the Defense value of that District by 1.</t>
  </si>
  <si>
    <t>They Got too Old for This</t>
  </si>
  <si>
    <t>[CONTINUOUS] The workers of a building decided that they have enough with their work conditions. To resolve the issue, you can either pay 1d6 BP to improve their working conditions, or try a loyalty check to convince them to return to work. On a successful loyalty check, the workers return to work. On a failed roll, you temporarily loose the building bonuses and gain +2 unrest.</t>
  </si>
  <si>
    <t>[CONTINUOUS] One undeveloped city-block (one square) has become a haven to a rash of homeless street urchins; destitute, coinless, or disabled. This has become both an eyesore and a concern for local business and homeowners. (The kingdom gains 2 Unrest. A successful Loyalty Check will reduce the Unrest to 1. A Stability Check can be made to police the people out of the area, or developing a building will displace them, but doing either of these doubles the Unrest for the following turn. Building a house in that square however will remove the Unrest completely.</t>
  </si>
  <si>
    <t>Slums</t>
  </si>
  <si>
    <t>Strike!</t>
  </si>
  <si>
    <t>Arcana</t>
  </si>
  <si>
    <t>Dungeoneering</t>
  </si>
  <si>
    <t>Engineering</t>
  </si>
  <si>
    <t>Geography</t>
  </si>
  <si>
    <t>History</t>
  </si>
  <si>
    <t>Local</t>
  </si>
  <si>
    <t>Nature</t>
  </si>
  <si>
    <t>Nobility</t>
  </si>
  <si>
    <t>Planes</t>
  </si>
  <si>
    <t>Religion</t>
  </si>
  <si>
    <t xml:space="preserve">Tears of Curchanus: </t>
  </si>
  <si>
    <t xml:space="preserve">Tainted Tears: Until your next Event phase, animals, magical beasts, and monstrous humanoids have a +2 profane bonus on attack and damage rolls against non-evil humanoids. </t>
  </si>
  <si>
    <t xml:space="preserve">Tears of Rage: Until your next Event phase, the chances of all wilderness random encounters increases by 10%. </t>
  </si>
  <si>
    <t xml:space="preserve">Blessed Tears: Until your next Event phase, non-evil humanoids have a +2 sacred bonus on attack and damage rolls against animals, magical beasts, and monstrous humanoids. </t>
  </si>
  <si>
    <t>Erastil. Gain 1 BP for each farm in your kingdom due to the increased productivity granted.</t>
  </si>
  <si>
    <t>Ghosts of Kingdoms Past</t>
  </si>
  <si>
    <t xml:space="preserve">The spirit is hostile, tortured, or otherwise unreasonable; if left to its own devices, violence and further unrest are the outcome. Add 2 Unrest that cannot be removed by any other means until the spirit is dealt with (either by through combat or by a Stability check). Once removed, this 2 Unrest and the Stability penalty from this event immediately disappear. </t>
  </si>
  <si>
    <t xml:space="preserve">The spirit is neutral, confused, or simply cannot move on to its eternal reward on its own. It may have unfinished business or simply not understand how to leave. If the spirit is aided (via a Stability check or roleplaying) and crosses over, it blesses the kingdom. Remove the Stability penalty from this event and gain a +2 bonus on all kingdom rolls until your next Event phase. </t>
  </si>
  <si>
    <t>The spirit is helpful, skillful, and not willing to cross over until it has taught its secrets to the living. While this could be a great boon, its ghostly nature and ancient mannerisms don’t mesh well. The spirit’s aid immediately reduces Unrest by 2 and produces one free BP every turn during Step 1 of the kingdom’s income phase (as if by a deposit) for the duration of one year, after which the ghost departs…but make a Loyalty check. On a success the Stability penalty is removed; failure, the Stability check penalty persists for the same one year duration.</t>
  </si>
  <si>
    <t xml:space="preserve">[CONTINUOUS] A monster (or group of monsters) attacks the kingdom—pick a hex the PCs have claimed to determine which hex the monster is active in. You can determine the type of monster by rolling on a wandering monster table until you get a result of CR 7 or higher. If the PCs don’t set out to defeat the monster or monsters, a Stability check removes the threat. If the monster is not defeated, Unrest increases by 4. If your kingdom’s Unrest is 5 or higher, the hex the monster dwells in becomes unclaimed at this time (this is in addition to losing control of hexes during Upkeep due to high Unrest). </t>
  </si>
  <si>
    <t>[NO COUNCILLOR/TAXATION = NON-EVENT] The people feel they pay too much in taxes and take their grievance to the Councilor. Make a Loyalty check. A successful check means that the Councilor smoothes over the situation, granting a +1 to all Loyalty check until the next Event phase. A failed check mean that the citizens are still not satisfied, giving the nation a -1 penalty to all Loyalty check until the next Event phase.</t>
  </si>
  <si>
    <t>[NO TREASURER = NON-EVENT] Your Treasurer figures out how to spend your money more wisely. Reduce your Consumption by 1 BP (minimum 0) until your next Event phase.</t>
  </si>
  <si>
    <t>[NO MAGISTER = NON-EVENT] One of the highlight performances at your festivals involves the Magister displaying magical prowess. The people are more interested in hiring the services of a spellcaster over the next month. You gain a +4 to all Economy checks until your next Event phase.</t>
  </si>
  <si>
    <t>[NO GENERAL = NON-EVENT] The nation’s promotion includes military demonstrations. You gain a +2 bonus on Stability checks until your next Event phase.</t>
  </si>
  <si>
    <t>[NO ROYAL ASSASSIN = NON-EVENT] A high profile criminal is executed publically. Gain a +1 bonus to Loyalty checks until your next Event phase.</t>
  </si>
  <si>
    <t>Add Per Month</t>
  </si>
  <si>
    <t>One of the Council celebrates their birthday! Add 1 BP to the Treasury due to the generous bounty of gifts!</t>
  </si>
  <si>
    <t xml:space="preserve">Several workers, drunk following payday, decide to go on a rampage through one of your towns! </t>
  </si>
  <si>
    <t>[NO HIGH PRIEST = NON-EVENT] The High Priest calls for a time for all followers to be truer to the tenants of the faith and the people respond. Decrease Unrest by 2.</t>
  </si>
  <si>
    <t>[NO MARSHAL = CONTINUOUS] A small group of bandits have been harassing some local farms. Your Marshal lays a trap and catches the bandits and discovers they are a group of runaway kids. They are returned home and punished to community service for a month. Reduce Consumption by 1 BP (minimum 0) until your next Event phase.</t>
  </si>
  <si>
    <t xml:space="preserve">[CONTINUOUS] A serial killer, arsonist, flamboyant thief, or daring bandit plagues your kingdom. Make a Stability check to catch the criminal; otherwise increase Unrest by 2 each month they remain at large. </t>
  </si>
  <si>
    <t>City Map Template</t>
  </si>
  <si>
    <t>Use the dropdown boxes to specify building type, whether the borders are land/water or if there is a city wall or not.</t>
  </si>
  <si>
    <t>PRESS F9 TO CALCULATE/UPDATE</t>
  </si>
  <si>
    <t>Overall</t>
  </si>
  <si>
    <t>Hidden Sheets</t>
  </si>
  <si>
    <t>Cloud Cover</t>
  </si>
  <si>
    <t>Rainfall</t>
  </si>
  <si>
    <t>Snowfall</t>
  </si>
  <si>
    <t>Drizzle</t>
  </si>
  <si>
    <t>Steady</t>
  </si>
  <si>
    <t>Downpour</t>
  </si>
  <si>
    <t>Torrential</t>
  </si>
  <si>
    <t>Few Flakes</t>
  </si>
  <si>
    <t>CC - Eighths</t>
  </si>
  <si>
    <t>Wind Direction</t>
  </si>
  <si>
    <t>North</t>
  </si>
  <si>
    <t>North-East</t>
  </si>
  <si>
    <t>East</t>
  </si>
  <si>
    <t>South-East</t>
  </si>
  <si>
    <t>South</t>
  </si>
  <si>
    <t>South-West</t>
  </si>
  <si>
    <t>West</t>
  </si>
  <si>
    <t>North-West</t>
  </si>
  <si>
    <t>Wind Speed (m/s)</t>
  </si>
  <si>
    <t>Temperature (Deg C)</t>
  </si>
  <si>
    <t>Other Weather</t>
  </si>
  <si>
    <t>Sleet</t>
  </si>
  <si>
    <t>Fog, Light</t>
  </si>
  <si>
    <t>Fog, Heavy</t>
  </si>
  <si>
    <t>Mist</t>
  </si>
  <si>
    <t>Monsoon</t>
  </si>
  <si>
    <t>Hailstorm</t>
  </si>
  <si>
    <t>Rain/Snow Duration</t>
  </si>
  <si>
    <t>All Day</t>
  </si>
  <si>
    <t>All Week</t>
  </si>
  <si>
    <t>All Month</t>
  </si>
  <si>
    <t>0</t>
  </si>
  <si>
    <t>WS - Desciption</t>
  </si>
  <si>
    <t>Calm</t>
  </si>
  <si>
    <t xml:space="preserve">Roll  </t>
  </si>
  <si>
    <t>21-25</t>
  </si>
  <si>
    <t>26-27</t>
  </si>
  <si>
    <t>28-30</t>
  </si>
  <si>
    <t>31-38</t>
  </si>
  <si>
    <t>39-40</t>
  </si>
  <si>
    <t>41-45</t>
  </si>
  <si>
    <t>46-60</t>
  </si>
  <si>
    <t>61-70</t>
  </si>
  <si>
    <t>71-84</t>
  </si>
  <si>
    <t>85-89</t>
  </si>
  <si>
    <t>90-94</t>
  </si>
  <si>
    <t>95-97</t>
  </si>
  <si>
    <t>98-99</t>
  </si>
  <si>
    <t>01-02</t>
  </si>
  <si>
    <t>03-05</t>
  </si>
  <si>
    <t>06-10</t>
  </si>
  <si>
    <t>11-20</t>
  </si>
  <si>
    <t xml:space="preserve">100  </t>
  </si>
  <si>
    <t xml:space="preserve">Blizzard, Heavy </t>
  </si>
  <si>
    <t xml:space="preserve">Blizzard, Light </t>
  </si>
  <si>
    <t xml:space="preserve">Snowstorm, Heavy     </t>
  </si>
  <si>
    <t xml:space="preserve">Snowstorm, Light      </t>
  </si>
  <si>
    <t xml:space="preserve">Sleetstorm </t>
  </si>
  <si>
    <t xml:space="preserve">Hailstorm </t>
  </si>
  <si>
    <t xml:space="preserve">Rainstorm, Heavy      </t>
  </si>
  <si>
    <t>Hurricane or Typhoon</t>
  </si>
  <si>
    <t xml:space="preserve">Special Weather </t>
  </si>
  <si>
    <t>Gale</t>
  </si>
  <si>
    <t>Tropical Storm</t>
  </si>
  <si>
    <t>Thunderstorm</t>
  </si>
  <si>
    <t>Rainstorm, Light</t>
  </si>
  <si>
    <t>Precipitation</t>
  </si>
  <si>
    <t>Min Temp</t>
  </si>
  <si>
    <t>Max Temp</t>
  </si>
  <si>
    <t xml:space="preserve">d%  </t>
  </si>
  <si>
    <t xml:space="preserve">1–2  </t>
  </si>
  <si>
    <t xml:space="preserve">3–4 </t>
  </si>
  <si>
    <t xml:space="preserve">5 –6 </t>
  </si>
  <si>
    <t xml:space="preserve">7 –8 </t>
  </si>
  <si>
    <t>9–10</t>
  </si>
  <si>
    <t>11–12</t>
  </si>
  <si>
    <t>13–14</t>
  </si>
  <si>
    <t>15–16</t>
  </si>
  <si>
    <t>17–18</t>
  </si>
  <si>
    <t>19–20</t>
  </si>
  <si>
    <t>21–22</t>
  </si>
  <si>
    <t>23 –24</t>
  </si>
  <si>
    <t>25–26</t>
  </si>
  <si>
    <t>27–28</t>
  </si>
  <si>
    <t>29–30</t>
  </si>
  <si>
    <t>31–32</t>
  </si>
  <si>
    <t>33–34</t>
  </si>
  <si>
    <t>35–36</t>
  </si>
  <si>
    <t>37–38</t>
  </si>
  <si>
    <t>39–40</t>
  </si>
  <si>
    <t>41–42</t>
  </si>
  <si>
    <t>43–44</t>
  </si>
  <si>
    <t>45–46</t>
  </si>
  <si>
    <t>47–48</t>
  </si>
  <si>
    <t>49–50</t>
  </si>
  <si>
    <t>51–52</t>
  </si>
  <si>
    <t>53–54</t>
  </si>
  <si>
    <t>55–56</t>
  </si>
  <si>
    <t>57–58</t>
  </si>
  <si>
    <t>59–60</t>
  </si>
  <si>
    <t>61–62</t>
  </si>
  <si>
    <t>63–64</t>
  </si>
  <si>
    <t>65–66</t>
  </si>
  <si>
    <t>67–68</t>
  </si>
  <si>
    <t>69–70</t>
  </si>
  <si>
    <t>71–72</t>
  </si>
  <si>
    <t>73–74</t>
  </si>
  <si>
    <t>75–76</t>
  </si>
  <si>
    <t>77–78</t>
  </si>
  <si>
    <t>79–80</t>
  </si>
  <si>
    <t>81–82</t>
  </si>
  <si>
    <t>83–84</t>
  </si>
  <si>
    <t>85–86</t>
  </si>
  <si>
    <t>87–88</t>
  </si>
  <si>
    <t>89–90</t>
  </si>
  <si>
    <t>91–92</t>
  </si>
  <si>
    <t>93–94</t>
  </si>
  <si>
    <t>95–96</t>
  </si>
  <si>
    <t>97–98</t>
  </si>
  <si>
    <t>99–100</t>
  </si>
  <si>
    <t>Balmy: mild and pleasant weather</t>
  </si>
  <si>
    <t>Blizzard: a dense snowstorm</t>
  </si>
  <si>
    <t>Bluster: strong wind</t>
  </si>
  <si>
    <t>Breeze: light wind</t>
  </si>
  <si>
    <t>Calm: no wind</t>
  </si>
  <si>
    <t>Chill: unpleasantly cold</t>
  </si>
  <si>
    <t>Cool: moderately cold</t>
  </si>
  <si>
    <t>Cyclone: violent, destructive storm</t>
  </si>
  <si>
    <t>Damp: moisture in the air</t>
  </si>
  <si>
    <t>Deluge: sudden heavy rainfall</t>
  </si>
  <si>
    <t>Dew: condensation forming just above the ground</t>
  </si>
  <si>
    <t>Downpour: heavy rainfall</t>
  </si>
  <si>
    <t>Draft: current of air</t>
  </si>
  <si>
    <t>Drizzle: fine rain</t>
  </si>
  <si>
    <t>Drought: continuous dry weather</t>
  </si>
  <si>
    <t>Dust storm: severe windstorm lifting dust and sand</t>
  </si>
  <si>
    <t>Fair: pleasant weather</t>
  </si>
  <si>
    <t>Fog: thick mist or cloud</t>
  </si>
  <si>
    <t>Freezing rain: rain that freezes when it lands</t>
  </si>
  <si>
    <t>Frigid: intensely cold</t>
  </si>
  <si>
    <t>Frost: frozen dew</t>
  </si>
  <si>
    <t>Gale: strong wind</t>
  </si>
  <si>
    <t>Hail: pellets of frozen rain</t>
  </si>
  <si>
    <t>Haze: condensing ground vapor caused by heat</t>
  </si>
  <si>
    <t>Heat wave: prolonged period of warm weather</t>
  </si>
  <si>
    <t>Humid: warm, moist air</t>
  </si>
  <si>
    <t>Hurricane: windstorm moving around a central point</t>
  </si>
  <si>
    <t>Mild: moderately warm weather without rain</t>
  </si>
  <si>
    <t>Mist: water vapor in the air</t>
  </si>
  <si>
    <t>Monsoon: heavy, prolonged seasonal rain</t>
  </si>
  <si>
    <t>Muggy: damp, warm, oppressive weather</t>
  </si>
  <si>
    <t>Overcast: heavy cloud cover</t>
  </si>
  <si>
    <t>Pea soup: thick yellow fog</t>
  </si>
  <si>
    <t>Rain shower: short period of rainfall</t>
  </si>
  <si>
    <t>Rainfall: prolonged period of rain</t>
  </si>
  <si>
    <t>Sleet: ice pellets mixed with rain or snow</t>
  </si>
  <si>
    <t>Smog: smoky fog</t>
  </si>
  <si>
    <t>Snow flurry: short period of light snow</t>
  </si>
  <si>
    <t>Snowstorm: prolonged heavy snow</t>
  </si>
  <si>
    <t>Squall: sudden, localized storm</t>
  </si>
  <si>
    <t>Storm: violet wind and rain</t>
  </si>
  <si>
    <t>Sunny: bright, clear weather</t>
  </si>
  <si>
    <t>Temperate: without extremes of warm or cold</t>
  </si>
  <si>
    <t>Thunderstorm: storm with thunder and lightning</t>
  </si>
  <si>
    <t>Tornado: destructive, rotating windstorm</t>
  </si>
  <si>
    <t>Tropical storm: cyclonic storm from the tropics</t>
  </si>
  <si>
    <t>Typhoon: violent cyclonic storm</t>
  </si>
  <si>
    <t>Warm: moderately hot temperature</t>
  </si>
  <si>
    <t>Whirlwind: violent wind moving in a circular motion</t>
  </si>
  <si>
    <t>Whiteout: heavy snow, causing visibility problems</t>
  </si>
  <si>
    <t>Light Air</t>
  </si>
  <si>
    <t>Light Breeze</t>
  </si>
  <si>
    <t>Gentle Breeze</t>
  </si>
  <si>
    <t>Moderate Breeze</t>
  </si>
  <si>
    <t>Fresh Breeze</t>
  </si>
  <si>
    <t>Strong Breeze</t>
  </si>
  <si>
    <t>Moderate Gale</t>
  </si>
  <si>
    <t>Strong Gale</t>
  </si>
  <si>
    <t>Storm</t>
  </si>
  <si>
    <t>Violent Storm</t>
  </si>
  <si>
    <t>Beaufort Scale</t>
  </si>
  <si>
    <t>1</t>
  </si>
  <si>
    <t>3</t>
  </si>
  <si>
    <t>4</t>
  </si>
  <si>
    <t>5</t>
  </si>
  <si>
    <t>6</t>
  </si>
  <si>
    <t>7</t>
  </si>
  <si>
    <t>8</t>
  </si>
  <si>
    <t>9</t>
  </si>
  <si>
    <t>10</t>
  </si>
  <si>
    <t>32+</t>
  </si>
  <si>
    <t>0.1-1.5</t>
  </si>
  <si>
    <t>1.6-3.4</t>
  </si>
  <si>
    <t>3.4-5.4</t>
  </si>
  <si>
    <t>5.5-7.9</t>
  </si>
  <si>
    <t>8-10.7</t>
  </si>
  <si>
    <t>10.8-13.8</t>
  </si>
  <si>
    <t>13.9-17.1</t>
  </si>
  <si>
    <t>17.2-20.7</t>
  </si>
  <si>
    <t>20.8-24.4</t>
  </si>
  <si>
    <t>24.5-28.4</t>
  </si>
  <si>
    <t>28.5-32.6</t>
  </si>
  <si>
    <t>Clear</t>
  </si>
  <si>
    <t>Overcast</t>
  </si>
  <si>
    <t>Whispy</t>
  </si>
  <si>
    <t>Patchy</t>
  </si>
  <si>
    <t>Light Cloud</t>
  </si>
  <si>
    <t>Heavy Cloud</t>
  </si>
  <si>
    <t>Mare's Tails</t>
  </si>
  <si>
    <t>Dense Cloud</t>
  </si>
  <si>
    <t>&lt; -50</t>
  </si>
  <si>
    <t>&gt; 50</t>
  </si>
  <si>
    <t>Temp - Description</t>
  </si>
  <si>
    <t>Very Hot</t>
  </si>
  <si>
    <t>Warm</t>
  </si>
  <si>
    <t>Cold</t>
  </si>
  <si>
    <t>Scorching</t>
  </si>
  <si>
    <t>Freezing</t>
  </si>
  <si>
    <t>Extreme Cold</t>
  </si>
  <si>
    <t>Chilly</t>
  </si>
  <si>
    <t>Lightning</t>
  </si>
  <si>
    <t>Rainbow</t>
  </si>
  <si>
    <t>Very Cold</t>
  </si>
  <si>
    <t>Dustcloud</t>
  </si>
  <si>
    <t>Haze</t>
  </si>
  <si>
    <t>Fresh</t>
  </si>
  <si>
    <t>Hot</t>
  </si>
  <si>
    <t>Temp-ID</t>
  </si>
  <si>
    <t>Spring</t>
  </si>
  <si>
    <t>Summer</t>
  </si>
  <si>
    <t>Autum</t>
  </si>
  <si>
    <t>Winter</t>
  </si>
  <si>
    <t>Autumn</t>
  </si>
  <si>
    <t>Season</t>
  </si>
  <si>
    <t>Temperature</t>
  </si>
  <si>
    <t>Wind Speed</t>
  </si>
  <si>
    <t>Duration</t>
  </si>
  <si>
    <t>Few Minutes</t>
  </si>
  <si>
    <t>Few Hours</t>
  </si>
  <si>
    <t>Several Hours</t>
  </si>
  <si>
    <t>Temp</t>
  </si>
  <si>
    <t>Wind</t>
  </si>
  <si>
    <t>Cloud</t>
  </si>
  <si>
    <t>Rain</t>
  </si>
  <si>
    <t>Snow</t>
  </si>
  <si>
    <t>Blizzard, Lt</t>
  </si>
  <si>
    <t>Blizzard, Hy</t>
  </si>
  <si>
    <t>Storm, Lt</t>
  </si>
  <si>
    <t>Storm, Hy</t>
  </si>
  <si>
    <t>Random Weather Generator</t>
  </si>
  <si>
    <t>Abadius</t>
  </si>
  <si>
    <t>Calistril</t>
  </si>
  <si>
    <t>Pharast</t>
  </si>
  <si>
    <t>Gozran</t>
  </si>
  <si>
    <t>Desnus</t>
  </si>
  <si>
    <t>Sarenith</t>
  </si>
  <si>
    <t>Erastus</t>
  </si>
  <si>
    <t>Arodus</t>
  </si>
  <si>
    <t>Rova</t>
  </si>
  <si>
    <t>Lamashan</t>
  </si>
  <si>
    <t>Neth</t>
  </si>
  <si>
    <t>Kuthona</t>
  </si>
  <si>
    <t>Moonday</t>
  </si>
  <si>
    <t>Toilday</t>
  </si>
  <si>
    <t>Wealday</t>
  </si>
  <si>
    <t>Oathday</t>
  </si>
  <si>
    <t>Fireday</t>
  </si>
  <si>
    <t>Starday</t>
  </si>
  <si>
    <t>Months</t>
  </si>
  <si>
    <t>Days</t>
  </si>
  <si>
    <t>Kingdom Age</t>
  </si>
  <si>
    <t>Current Year</t>
  </si>
  <si>
    <t>Current Month</t>
  </si>
  <si>
    <t>Months of the Year</t>
  </si>
  <si>
    <t>Credits</t>
  </si>
  <si>
    <t>Incorporates events, modifications and suggestions by various people on the Paizo Messageboard, too numerous to list (you know who you are!).</t>
  </si>
  <si>
    <r>
      <t xml:space="preserve">Modifications of the original spreadsheet created by </t>
    </r>
    <r>
      <rPr>
        <b/>
        <sz val="12"/>
        <color theme="1"/>
        <rFont val="Calibri"/>
        <family val="2"/>
        <scheme val="minor"/>
      </rPr>
      <t>Berhagen.</t>
    </r>
    <r>
      <rPr>
        <sz val="12"/>
        <color theme="1"/>
        <rFont val="Calibri"/>
        <family val="2"/>
        <scheme val="minor"/>
      </rPr>
      <t xml:space="preserve"> All credit to him for the intial design work!</t>
    </r>
  </si>
  <si>
    <r>
      <t xml:space="preserve">Draws upon information found in the </t>
    </r>
    <r>
      <rPr>
        <b/>
        <sz val="12"/>
        <color theme="1"/>
        <rFont val="Calibri"/>
        <family val="2"/>
        <scheme val="minor"/>
      </rPr>
      <t>Book of the River Nations</t>
    </r>
    <r>
      <rPr>
        <sz val="12"/>
        <color theme="1"/>
        <rFont val="Calibri"/>
        <family val="2"/>
        <scheme val="minor"/>
      </rPr>
      <t xml:space="preserve"> from </t>
    </r>
    <r>
      <rPr>
        <b/>
        <sz val="12"/>
        <color theme="1"/>
        <rFont val="Calibri"/>
        <family val="2"/>
        <scheme val="minor"/>
      </rPr>
      <t>John Brazer Enterprises</t>
    </r>
    <r>
      <rPr>
        <sz val="12"/>
        <color theme="1"/>
        <rFont val="Calibri"/>
        <family val="2"/>
        <scheme val="minor"/>
      </rPr>
      <t>. Purchase it from RPGNow.com today!</t>
    </r>
  </si>
  <si>
    <t>Upgrades:</t>
  </si>
  <si>
    <t>Added simple City Maps for each city</t>
  </si>
  <si>
    <t>Formatting:</t>
  </si>
  <si>
    <t>Added colour!</t>
  </si>
  <si>
    <t>Conditional formatting added where appropriate</t>
  </si>
  <si>
    <t>Modifications:</t>
  </si>
  <si>
    <t>Modified the dropdowns for Alignment on Overall sheet</t>
  </si>
  <si>
    <t>Added Event Generator and Random Events to Overall page</t>
  </si>
  <si>
    <t>Added improvement calculator based on size to Overall page</t>
  </si>
  <si>
    <t>Added Year Calculator, Calendar, Days of the Week, Basic Weather Generator ro Overall page</t>
  </si>
  <si>
    <t>Added Optional Resources to Kingdom page</t>
  </si>
  <si>
    <t>Addedd Defence calculation to the Overall page</t>
  </si>
  <si>
    <t>Minor changes to calculations (formatting)</t>
  </si>
  <si>
    <t>Added Optional Buildings to city pages</t>
  </si>
  <si>
    <t>Added cells for magic items, reformatted city sheets to accommodate changes</t>
  </si>
  <si>
    <t>Instructions</t>
  </si>
  <si>
    <t>Press F9 to update any calculations or generate a random Event. This has been enabled to ensure modifications to the Overall sheet do not automatically generate a new random event each time.</t>
  </si>
  <si>
    <t>The shown District is the middle District of a 5 x 5 matrix of Districts. To expand/add further Districts, Unprotect the sheet, highlight all the cells and then Unhide. You can then re-hide those Districts you don't want.</t>
  </si>
  <si>
    <t>Each square is a drop-down, just specify the building type (you'll have to do this manually for 2 and 4-square buildings).</t>
  </si>
  <si>
    <t>Only text in white boxes can be added, deleted or changed. Anything in grey boxes is calculated. The rest is done using drop-down menus.</t>
  </si>
  <si>
    <t>The Promotion, Taxation and Festivals drop-downs are blacked out when their associated posts are vacant. They still function, however (just hidden).</t>
  </si>
  <si>
    <t>Random weather is generated depending on the season selected.</t>
  </si>
  <si>
    <t>Current Year is calculated from 4708 AR plus however long the Kingdom has been going. Use YY.MM to represent the current Year/Month in the Kingdom Age box, e.g. 12.5 = 12 years and 5 months.</t>
  </si>
  <si>
    <t>Event Generator</t>
  </si>
  <si>
    <t>New events can be added, just modify the current list or add to it and then update the formulae at the top of the sheet.</t>
  </si>
  <si>
    <t>There is a list of unused events at the bottom of the sheet.</t>
  </si>
  <si>
    <t>Version 3.0 - Zoetrope's Mods</t>
  </si>
  <si>
    <t>House Rules</t>
  </si>
  <si>
    <t>Selling magic items generate 1 BP per 4,000 gp value, rounding down (instead of 2/8/15 BP in the rules).</t>
  </si>
  <si>
    <t>You gain one Unrest for each 2,000 gold per BP withdrawn from the Treasury. Make a Loyalty check (Control DC + BP withdrawn) otherwise further increase Unrest by 1d6.</t>
  </si>
  <si>
    <t>Buildings have to be logically created and spamming the same building type for points is not allowed to be excessive, e.g. One graveyard, monument, etc per District is allowed.</t>
  </si>
  <si>
    <t>Districts have to be at least 75% filled before new Districts can be built in the same city.</t>
  </si>
  <si>
    <t>Food Surplus</t>
  </si>
  <si>
    <t>Food Shortage</t>
  </si>
  <si>
    <t>Version 3.1 - Zoetrope's Mods</t>
  </si>
  <si>
    <t>Fixed consumption to stop negative figures.</t>
  </si>
  <si>
    <t>h</t>
  </si>
  <si>
    <t>Added House Rules tab for reminders.</t>
  </si>
  <si>
    <t>City Tabs</t>
  </si>
  <si>
    <t>There are 25 city tabs, five are shown and the other 20 are hidden (right click on a tab and select Unhide).</t>
  </si>
  <si>
    <t>You cannot just copy a City tab and expect it to work!! The formulae would need to be updated to reflect this additional city. That's why there are 25 cities already, should be plenty, just use one of the pre-made ones!!</t>
  </si>
  <si>
    <t>There are only five city maps at present, plus the template. Just copy the template and rename it to your city!</t>
  </si>
  <si>
    <t>Some sheets, like the Event Generator, are hidden so you'll need to Unhide them to see/modify their contents.</t>
  </si>
  <si>
    <t>There are 25 City sheets in total, just Unhide them as you need them and copy the City Map template.</t>
  </si>
  <si>
    <t>Updated instructions.</t>
  </si>
  <si>
    <t>Fixed consumption calc to account for Food Shortage (x2) or Surplus (x1/2) events.</t>
  </si>
  <si>
    <t>Updates all City tabs to new format, removing error.</t>
  </si>
  <si>
    <t>Carlos' Kingmaker</t>
  </si>
  <si>
    <t>Kreed</t>
  </si>
  <si>
    <t>Grenhelm</t>
  </si>
  <si>
    <t>Vacant</t>
  </si>
  <si>
    <t>Svetlana Leventon</t>
  </si>
  <si>
    <t>Kesten Garess</t>
  </si>
  <si>
    <t>Akiros Ismort</t>
  </si>
  <si>
    <t>Jhod Kavken</t>
  </si>
  <si>
    <t>Whizzbang</t>
  </si>
  <si>
    <t>Ferrowitz</t>
  </si>
  <si>
    <t>Dusk</t>
  </si>
  <si>
    <t>Azgur</t>
  </si>
  <si>
    <t>Baron Munin</t>
  </si>
  <si>
    <t>SubeventID</t>
  </si>
  <si>
    <t>Subevent Text</t>
  </si>
  <si>
    <t>Leaders</t>
  </si>
  <si>
    <t>Good event</t>
  </si>
  <si>
    <t>Bad Event</t>
  </si>
  <si>
    <t>Some adventurers decide to stay in the city and support the growth of the new kingdom, offering themselves to the Council as advisors or specialist workers. Either increase the Treasury by 2 BP or add two new Minor Items (if appropriate).</t>
  </si>
  <si>
    <t>Natural Blessings</t>
  </si>
  <si>
    <t>A natural event—such as a bloom of rare and beautiful wildflowers or good omens in the stars—raises your kingdom’s morale. Gain a +4 bonus on Stability checks until your next Event phase.</t>
  </si>
  <si>
    <t>Song of Tale</t>
  </si>
  <si>
    <t>A song of the ruler’s legend or a tale of the kingdom’s bravery spreads through your land, lightening the hearts of your people and increasing the income at breweries, inns and tavern everywhere. Gain a +2 bonus on Economy checks until your next Event phase if you have at least one such building. Reduce Unrest by 2, regardless.</t>
  </si>
  <si>
    <t>Animal Crime Lord Activity</t>
  </si>
  <si>
    <t>[CONTINUOUS] A large awakened animal (such as a horse) has set itself up as a crime lord in a random city district. Make a Stability check. If you succeed, the animal is caught and charged with criminal activity. If you fail, the crime boss reduces all Economy bonuses from buildings in the district by half (rounding down).</t>
  </si>
  <si>
    <t>Religious Apathy</t>
  </si>
  <si>
    <t>A “act of a god” event such as a drought or tornado causes some restlessness in the kingdom. Suffer a -2 penalty to all Stability checks until your next Event phase.</t>
  </si>
  <si>
    <t>A spy causing trouble in your kingdom has been discovered. Assassinate her and increase Unrest by 2 or hold a public trial, costing the kingdom’s Treasury 1 BP.</t>
  </si>
  <si>
    <t>Spy Discovered</t>
  </si>
  <si>
    <t>Player</t>
  </si>
  <si>
    <t>Clint</t>
  </si>
  <si>
    <t>Jacob</t>
  </si>
  <si>
    <t>Sam</t>
  </si>
  <si>
    <t>Steven</t>
  </si>
  <si>
    <t>Ryan</t>
  </si>
  <si>
    <t>Chris</t>
  </si>
  <si>
    <t>Character</t>
  </si>
  <si>
    <t>Munin</t>
  </si>
  <si>
    <t>Fitz</t>
  </si>
  <si>
    <t>Current XP</t>
  </si>
  <si>
    <t>Grenhelm City</t>
  </si>
  <si>
    <t>Tsishad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</si>
</sst>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164" formatCode="_-* #,##0.00_-;\-* #,##0.00_-;_-* &quot;-&quot;??_-;_-@_-"/>
    <numFmt numFmtId="165" formatCode="_-* #,##0.000_-;\-* #,##0.000_-;_-* &quot;-&quot;??_-;_-@_-"/>
  </numFmts>
  <fonts count="23" x14ac:knownFonts="1">
    <font>
      <sz val="11"/>
      <color theme="1"/>
      <name val="Calibri"/>
      <family val="2"/>
      <scheme val="minor"/>
    </font>
    <font>
      <b/>
      <sz val="11"/>
      <name val="Verdana"/>
      <family val="2"/>
    </font>
    <font>
      <sz val="11"/>
      <color theme="0"/>
      <name val="Calibri"/>
      <family val="2"/>
      <scheme val="minor"/>
    </font>
    <font>
      <b/>
      <sz val="11"/>
      <color theme="1"/>
      <name val="Calibri"/>
      <family val="2"/>
      <scheme val="minor"/>
    </font>
    <font>
      <b/>
      <sz val="11"/>
      <color theme="0"/>
      <name val="Verdana"/>
      <family val="2"/>
    </font>
    <font>
      <b/>
      <sz val="10"/>
      <color theme="1"/>
      <name val="Verdana"/>
      <family val="2"/>
    </font>
    <font>
      <b/>
      <sz val="11"/>
      <color theme="0"/>
      <name val="Times New Roman"/>
      <family val="1"/>
    </font>
    <font>
      <sz val="11"/>
      <color theme="0"/>
      <name val="Verdana"/>
      <family val="2"/>
    </font>
    <font>
      <sz val="10"/>
      <color theme="1"/>
      <name val="Verdana"/>
      <family val="2"/>
    </font>
    <font>
      <b/>
      <sz val="10"/>
      <color theme="0"/>
      <name val="Verdana"/>
      <family val="2"/>
    </font>
    <font>
      <b/>
      <sz val="11"/>
      <color theme="1"/>
      <name val="Verdana"/>
      <family val="2"/>
    </font>
    <font>
      <b/>
      <sz val="10"/>
      <color theme="1"/>
      <name val="Calibri"/>
      <family val="2"/>
      <scheme val="minor"/>
    </font>
    <font>
      <sz val="10"/>
      <color theme="1"/>
      <name val="Calibri"/>
      <family val="2"/>
      <scheme val="minor"/>
    </font>
    <font>
      <b/>
      <sz val="11"/>
      <color theme="0"/>
      <name val="Calibri"/>
      <family val="2"/>
      <scheme val="minor"/>
    </font>
    <font>
      <strike/>
      <sz val="11"/>
      <color theme="1"/>
      <name val="Calibri"/>
      <family val="2"/>
      <scheme val="minor"/>
    </font>
    <font>
      <b/>
      <sz val="10"/>
      <color rgb="FFFF0000"/>
      <name val="Verdana"/>
      <family val="2"/>
    </font>
    <font>
      <sz val="11"/>
      <name val="Calibri"/>
      <family val="2"/>
      <scheme val="minor"/>
    </font>
    <font>
      <sz val="10"/>
      <name val="Calibri"/>
      <family val="2"/>
      <scheme val="minor"/>
    </font>
    <font>
      <sz val="10"/>
      <color theme="0"/>
      <name val="Verdana"/>
      <family val="2"/>
    </font>
    <font>
      <sz val="11"/>
      <color theme="1"/>
      <name val="Calibri"/>
      <family val="2"/>
      <scheme val="minor"/>
    </font>
    <font>
      <b/>
      <sz val="12"/>
      <color theme="1"/>
      <name val="Calibri"/>
      <family val="2"/>
      <scheme val="minor"/>
    </font>
    <font>
      <b/>
      <sz val="22"/>
      <color theme="1"/>
      <name val="Calibri"/>
      <family val="2"/>
      <scheme val="minor"/>
    </font>
    <font>
      <sz val="12"/>
      <color theme="1"/>
      <name val="Calibri"/>
      <family val="2"/>
      <scheme val="minor"/>
    </font>
  </fonts>
  <fills count="21">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rgb="FF00B050"/>
        <bgColor indexed="64"/>
      </patternFill>
    </fill>
    <fill>
      <patternFill patternType="solid">
        <fgColor rgb="FFCC990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8" tint="-0.249977111117893"/>
        <bgColor indexed="64"/>
      </patternFill>
    </fill>
    <fill>
      <patternFill patternType="solid">
        <fgColor rgb="FF0070C0"/>
        <bgColor indexed="64"/>
      </patternFill>
    </fill>
    <fill>
      <patternFill patternType="solid">
        <fgColor theme="6" tint="0.39997558519241921"/>
        <bgColor indexed="64"/>
      </patternFill>
    </fill>
    <fill>
      <patternFill patternType="solid">
        <fgColor rgb="FFFFC000"/>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8"/>
        <bgColor indexed="64"/>
      </patternFill>
    </fill>
  </fills>
  <borders count="46">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ashed">
        <color auto="1"/>
      </left>
      <right style="thin">
        <color auto="1"/>
      </right>
      <top style="dashed">
        <color auto="1"/>
      </top>
      <bottom style="thin">
        <color auto="1"/>
      </bottom>
      <diagonal/>
    </border>
    <border>
      <left style="thin">
        <color auto="1"/>
      </left>
      <right style="dashed">
        <color auto="1"/>
      </right>
      <top style="dashed">
        <color auto="1"/>
      </top>
      <bottom style="thin">
        <color auto="1"/>
      </bottom>
      <diagonal/>
    </border>
    <border>
      <left style="dashed">
        <color auto="1"/>
      </left>
      <right style="thin">
        <color auto="1"/>
      </right>
      <top style="thin">
        <color auto="1"/>
      </top>
      <bottom style="dashed">
        <color auto="1"/>
      </bottom>
      <diagonal/>
    </border>
    <border>
      <left style="thin">
        <color auto="1"/>
      </left>
      <right style="dashed">
        <color auto="1"/>
      </right>
      <top style="thin">
        <color auto="1"/>
      </top>
      <bottom style="dashed">
        <color auto="1"/>
      </bottom>
      <diagonal/>
    </border>
  </borders>
  <cellStyleXfs count="2">
    <xf numFmtId="0" fontId="0" fillId="0" borderId="0"/>
    <xf numFmtId="164" fontId="19" fillId="0" borderId="0" applyFont="0" applyFill="0" applyBorder="0" applyAlignment="0" applyProtection="0"/>
  </cellStyleXfs>
  <cellXfs count="508">
    <xf numFmtId="0" fontId="0" fillId="0" borderId="0" xfId="0"/>
    <xf numFmtId="0" fontId="0" fillId="0" borderId="0" xfId="0" applyFill="1"/>
    <xf numFmtId="0" fontId="0" fillId="0" borderId="1" xfId="0" applyBorder="1" applyAlignment="1">
      <alignment horizontal="center"/>
    </xf>
    <xf numFmtId="0" fontId="0" fillId="0" borderId="2" xfId="0" applyBorder="1" applyAlignment="1">
      <alignment horizontal="center"/>
    </xf>
    <xf numFmtId="0" fontId="0" fillId="0" borderId="2" xfId="0" applyBorder="1"/>
    <xf numFmtId="0" fontId="0" fillId="0" borderId="0" xfId="0" applyBorder="1"/>
    <xf numFmtId="0" fontId="0" fillId="0" borderId="3" xfId="0" applyBorder="1"/>
    <xf numFmtId="0" fontId="0" fillId="0" borderId="4" xfId="0" applyBorder="1"/>
    <xf numFmtId="0" fontId="0" fillId="0" borderId="5" xfId="0" applyBorder="1"/>
    <xf numFmtId="0" fontId="3" fillId="0" borderId="1" xfId="0" applyFont="1" applyBorder="1"/>
    <xf numFmtId="0" fontId="0" fillId="0" borderId="0" xfId="0" applyBorder="1" applyAlignment="1"/>
    <xf numFmtId="0" fontId="0" fillId="0" borderId="0" xfId="0" applyFill="1" applyBorder="1"/>
    <xf numFmtId="0" fontId="0" fillId="0" borderId="8" xfId="0" applyBorder="1"/>
    <xf numFmtId="0" fontId="0" fillId="0" borderId="9" xfId="0" applyFill="1" applyBorder="1"/>
    <xf numFmtId="0" fontId="0" fillId="0" borderId="9" xfId="0" applyBorder="1"/>
    <xf numFmtId="0" fontId="0" fillId="0" borderId="10" xfId="0" applyBorder="1"/>
    <xf numFmtId="0" fontId="3" fillId="0" borderId="0" xfId="0" applyFont="1" applyFill="1" applyBorder="1"/>
    <xf numFmtId="0" fontId="3" fillId="0" borderId="0" xfId="0" applyFont="1" applyBorder="1"/>
    <xf numFmtId="0" fontId="0" fillId="0" borderId="11" xfId="0" applyBorder="1"/>
    <xf numFmtId="0" fontId="0" fillId="0" borderId="12" xfId="0" applyBorder="1"/>
    <xf numFmtId="0" fontId="6" fillId="0" borderId="0" xfId="0" applyFont="1" applyFill="1" applyBorder="1" applyAlignment="1">
      <alignment horizontal="center" vertical="center"/>
    </xf>
    <xf numFmtId="0" fontId="0" fillId="0" borderId="0" xfId="0" applyFill="1" applyBorder="1" applyAlignment="1">
      <alignment horizontal="center"/>
    </xf>
    <xf numFmtId="0" fontId="0" fillId="0" borderId="11" xfId="0" applyFill="1" applyBorder="1"/>
    <xf numFmtId="0" fontId="2" fillId="2" borderId="0" xfId="0" applyFont="1" applyFill="1" applyBorder="1"/>
    <xf numFmtId="0" fontId="2" fillId="0" borderId="0" xfId="0" applyFont="1" applyFill="1" applyBorder="1"/>
    <xf numFmtId="0" fontId="7" fillId="0" borderId="0" xfId="0" applyFont="1" applyFill="1" applyBorder="1"/>
    <xf numFmtId="0" fontId="8" fillId="0" borderId="0" xfId="0" applyFont="1" applyFill="1" applyBorder="1"/>
    <xf numFmtId="0" fontId="8" fillId="0" borderId="0" xfId="0" applyFont="1" applyBorder="1"/>
    <xf numFmtId="0" fontId="0" fillId="0" borderId="2" xfId="0" applyFill="1" applyBorder="1"/>
    <xf numFmtId="0" fontId="0" fillId="0" borderId="13" xfId="0" applyBorder="1"/>
    <xf numFmtId="0" fontId="4" fillId="0" borderId="0" xfId="0" applyFont="1" applyFill="1" applyBorder="1" applyAlignment="1">
      <alignment horizontal="center" vertical="center"/>
    </xf>
    <xf numFmtId="0" fontId="4" fillId="0" borderId="0" xfId="0" applyFont="1" applyFill="1" applyBorder="1" applyAlignment="1">
      <alignment horizontal="center"/>
    </xf>
    <xf numFmtId="0" fontId="9" fillId="2" borderId="7" xfId="0" applyFont="1" applyFill="1" applyBorder="1" applyAlignment="1">
      <alignment horizontal="center" vertical="center"/>
    </xf>
    <xf numFmtId="0" fontId="0" fillId="0" borderId="12" xfId="0" applyFill="1" applyBorder="1"/>
    <xf numFmtId="0" fontId="0" fillId="0" borderId="14" xfId="0" applyBorder="1"/>
    <xf numFmtId="0" fontId="5" fillId="0" borderId="0" xfId="0" applyFont="1" applyBorder="1"/>
    <xf numFmtId="0" fontId="0" fillId="0" borderId="17"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0" fillId="0" borderId="16" xfId="0" applyBorder="1" applyAlignment="1">
      <alignment horizontal="center"/>
    </xf>
    <xf numFmtId="0" fontId="0" fillId="0" borderId="0" xfId="0" applyFill="1" applyBorder="1" applyAlignment="1"/>
    <xf numFmtId="0" fontId="0" fillId="3" borderId="1" xfId="0" applyFill="1" applyBorder="1" applyAlignment="1">
      <alignment horizontal="center"/>
    </xf>
    <xf numFmtId="0" fontId="0" fillId="3" borderId="0" xfId="0" applyFill="1" applyBorder="1" applyAlignment="1">
      <alignment horizontal="center"/>
    </xf>
    <xf numFmtId="0" fontId="1" fillId="0" borderId="15" xfId="0" applyFont="1" applyFill="1" applyBorder="1" applyAlignment="1">
      <alignment horizontal="center"/>
    </xf>
    <xf numFmtId="0" fontId="1" fillId="0" borderId="6" xfId="0" applyFont="1" applyFill="1" applyBorder="1" applyAlignment="1">
      <alignment horizontal="center"/>
    </xf>
    <xf numFmtId="0" fontId="1" fillId="0" borderId="7" xfId="0" applyFont="1" applyFill="1" applyBorder="1" applyAlignment="1">
      <alignment horizontal="center"/>
    </xf>
    <xf numFmtId="0" fontId="3" fillId="0" borderId="0" xfId="0" applyFont="1"/>
    <xf numFmtId="0" fontId="0" fillId="0" borderId="3" xfId="0" applyBorder="1"/>
    <xf numFmtId="0" fontId="0" fillId="0" borderId="4" xfId="0" applyBorder="1"/>
    <xf numFmtId="0" fontId="0" fillId="0" borderId="3" xfId="0" applyBorder="1" applyAlignment="1">
      <alignment horizontal="left"/>
    </xf>
    <xf numFmtId="0" fontId="0" fillId="0" borderId="4" xfId="0" applyBorder="1" applyAlignment="1">
      <alignment horizontal="left"/>
    </xf>
    <xf numFmtId="0" fontId="0" fillId="0" borderId="0" xfId="0" applyNumberFormat="1"/>
    <xf numFmtId="0" fontId="0" fillId="0" borderId="1" xfId="0" applyBorder="1" applyAlignment="1" applyProtection="1">
      <alignment horizontal="center"/>
      <protection locked="0"/>
    </xf>
    <xf numFmtId="0" fontId="0" fillId="0" borderId="1" xfId="0" applyBorder="1" applyAlignment="1" applyProtection="1">
      <alignment horizontal="center" vertical="center"/>
      <protection locked="0"/>
    </xf>
    <xf numFmtId="0" fontId="0" fillId="0" borderId="1" xfId="0" applyFill="1" applyBorder="1" applyAlignment="1" applyProtection="1">
      <alignment horizontal="center"/>
      <protection locked="0"/>
    </xf>
    <xf numFmtId="0" fontId="0" fillId="3" borderId="1" xfId="0" applyFill="1" applyBorder="1" applyAlignment="1" applyProtection="1">
      <alignment horizontal="center"/>
    </xf>
    <xf numFmtId="0" fontId="4" fillId="0" borderId="0" xfId="0" applyFont="1" applyFill="1" applyBorder="1"/>
    <xf numFmtId="0" fontId="4" fillId="0" borderId="0" xfId="0" applyFont="1" applyFill="1" applyBorder="1" applyAlignment="1"/>
    <xf numFmtId="0" fontId="1" fillId="0" borderId="0" xfId="0" applyFont="1" applyFill="1" applyBorder="1" applyAlignment="1">
      <alignment horizontal="center"/>
    </xf>
    <xf numFmtId="0" fontId="0" fillId="3" borderId="25" xfId="0" applyFill="1" applyBorder="1" applyAlignment="1">
      <alignment horizontal="center"/>
    </xf>
    <xf numFmtId="0" fontId="0" fillId="3" borderId="26" xfId="0" applyFill="1" applyBorder="1" applyAlignment="1">
      <alignment horizontal="center"/>
    </xf>
    <xf numFmtId="0" fontId="0" fillId="0" borderId="27" xfId="0" applyBorder="1" applyAlignment="1">
      <alignment horizontal="center"/>
    </xf>
    <xf numFmtId="0" fontId="0" fillId="0" borderId="0" xfId="0" applyBorder="1" applyAlignment="1"/>
    <xf numFmtId="0" fontId="4" fillId="2" borderId="0" xfId="0" applyFont="1" applyFill="1" applyBorder="1" applyAlignment="1">
      <alignment horizontal="center"/>
    </xf>
    <xf numFmtId="0" fontId="4" fillId="2" borderId="0" xfId="0" applyFont="1" applyFill="1" applyBorder="1"/>
    <xf numFmtId="0" fontId="4" fillId="2" borderId="0" xfId="0" applyFont="1" applyFill="1" applyBorder="1" applyAlignment="1"/>
    <xf numFmtId="0" fontId="0" fillId="0" borderId="0" xfId="0" applyBorder="1" applyAlignment="1">
      <alignment horizontal="center"/>
    </xf>
    <xf numFmtId="0" fontId="10" fillId="0" borderId="0" xfId="0" applyFont="1" applyBorder="1"/>
    <xf numFmtId="0" fontId="0" fillId="0" borderId="1" xfId="0" applyFill="1" applyBorder="1" applyAlignment="1">
      <alignment horizontal="center"/>
    </xf>
    <xf numFmtId="0" fontId="0" fillId="0" borderId="0" xfId="0" applyBorder="1" applyAlignment="1">
      <alignment vertical="top"/>
    </xf>
    <xf numFmtId="0" fontId="0" fillId="0" borderId="1" xfId="0" applyFill="1" applyBorder="1" applyAlignment="1"/>
    <xf numFmtId="0" fontId="0" fillId="0" borderId="8" xfId="0" applyFill="1" applyBorder="1"/>
    <xf numFmtId="0" fontId="0" fillId="0" borderId="0" xfId="0" applyFill="1" applyBorder="1" applyAlignment="1" applyProtection="1">
      <alignment horizontal="left"/>
    </xf>
    <xf numFmtId="0" fontId="0" fillId="0" borderId="0" xfId="0" applyNumberFormat="1" applyFill="1" applyBorder="1" applyAlignment="1">
      <alignment horizontal="left" vertical="top" wrapText="1"/>
    </xf>
    <xf numFmtId="0" fontId="0" fillId="3" borderId="0" xfId="0" applyFill="1" applyBorder="1" applyAlignment="1">
      <alignment horizontal="center"/>
    </xf>
    <xf numFmtId="0" fontId="0" fillId="0" borderId="0" xfId="0" applyBorder="1" applyAlignment="1">
      <alignment horizontal="center"/>
    </xf>
    <xf numFmtId="0" fontId="0" fillId="3" borderId="0" xfId="0" applyFill="1" applyBorder="1" applyAlignment="1">
      <alignment horizontal="center"/>
    </xf>
    <xf numFmtId="0" fontId="0" fillId="0" borderId="0" xfId="0" applyBorder="1" applyAlignment="1">
      <alignment vertical="top"/>
    </xf>
    <xf numFmtId="0" fontId="0" fillId="3" borderId="7" xfId="0" applyFill="1" applyBorder="1" applyAlignment="1">
      <alignment horizontal="center"/>
    </xf>
    <xf numFmtId="0" fontId="4" fillId="2" borderId="0" xfId="0" applyFont="1" applyFill="1" applyAlignment="1">
      <alignment horizontal="center"/>
    </xf>
    <xf numFmtId="0" fontId="0" fillId="0" borderId="11" xfId="0" applyBorder="1" applyAlignment="1" applyProtection="1">
      <alignment horizontal="center"/>
      <protection locked="0"/>
    </xf>
    <xf numFmtId="0" fontId="0" fillId="3" borderId="11" xfId="0" applyFill="1" applyBorder="1" applyAlignment="1">
      <alignment horizontal="center"/>
    </xf>
    <xf numFmtId="0" fontId="0" fillId="0" borderId="11" xfId="0" applyFill="1" applyBorder="1" applyAlignment="1">
      <alignment horizontal="center"/>
    </xf>
    <xf numFmtId="0" fontId="0" fillId="0" borderId="11" xfId="0" applyFill="1" applyBorder="1" applyAlignment="1"/>
    <xf numFmtId="0" fontId="4" fillId="0" borderId="11" xfId="0" applyFont="1" applyFill="1" applyBorder="1" applyAlignment="1">
      <alignment horizontal="center"/>
    </xf>
    <xf numFmtId="0" fontId="4" fillId="2" borderId="0" xfId="0" applyFont="1" applyFill="1" applyBorder="1" applyAlignment="1">
      <alignment horizontal="center"/>
    </xf>
    <xf numFmtId="0" fontId="4" fillId="2" borderId="0" xfId="0" applyFont="1" applyFill="1" applyBorder="1" applyAlignment="1"/>
    <xf numFmtId="0" fontId="4" fillId="2" borderId="0" xfId="0" applyFont="1" applyFill="1" applyBorder="1" applyAlignment="1"/>
    <xf numFmtId="0" fontId="0" fillId="0" borderId="7" xfId="0" applyFill="1" applyBorder="1" applyAlignment="1">
      <alignment horizontal="center"/>
    </xf>
    <xf numFmtId="0" fontId="0" fillId="0" borderId="0" xfId="0" applyFill="1" applyAlignment="1"/>
    <xf numFmtId="0" fontId="0" fillId="0" borderId="0" xfId="0" applyFont="1"/>
    <xf numFmtId="0" fontId="0" fillId="0" borderId="0" xfId="0" applyBorder="1" applyAlignment="1">
      <alignment horizontal="left"/>
    </xf>
    <xf numFmtId="0" fontId="0" fillId="0" borderId="11" xfId="0" applyBorder="1" applyAlignment="1" applyProtection="1">
      <alignment horizontal="left"/>
    </xf>
    <xf numFmtId="0" fontId="0" fillId="0" borderId="3" xfId="0" applyFill="1" applyBorder="1"/>
    <xf numFmtId="0" fontId="0" fillId="0" borderId="4" xfId="0" applyFill="1" applyBorder="1"/>
    <xf numFmtId="0" fontId="0" fillId="0" borderId="5" xfId="0" applyBorder="1" applyAlignment="1">
      <alignment horizontal="left"/>
    </xf>
    <xf numFmtId="0" fontId="0" fillId="0" borderId="31" xfId="0" applyBorder="1" applyAlignment="1">
      <alignment horizontal="left"/>
    </xf>
    <xf numFmtId="0" fontId="0" fillId="3" borderId="1" xfId="0" applyFill="1" applyBorder="1" applyAlignment="1" applyProtection="1">
      <alignment horizontal="center"/>
      <protection locked="0"/>
    </xf>
    <xf numFmtId="0" fontId="3" fillId="0" borderId="31" xfId="0" applyFont="1" applyBorder="1"/>
    <xf numFmtId="0" fontId="0" fillId="0" borderId="1" xfId="0" applyBorder="1" applyAlignment="1" applyProtection="1">
      <alignment horizontal="left" vertical="top" wrapText="1"/>
      <protection locked="0"/>
    </xf>
    <xf numFmtId="0" fontId="0" fillId="0" borderId="31" xfId="0" applyBorder="1"/>
    <xf numFmtId="0" fontId="0" fillId="0" borderId="1" xfId="0" applyFill="1" applyBorder="1"/>
    <xf numFmtId="0" fontId="0" fillId="0" borderId="0" xfId="0" applyFill="1" applyBorder="1" applyAlignment="1">
      <alignment horizontal="left"/>
    </xf>
    <xf numFmtId="0" fontId="0" fillId="0" borderId="3" xfId="0" applyFill="1" applyBorder="1" applyAlignment="1">
      <alignment horizontal="left"/>
    </xf>
    <xf numFmtId="0" fontId="0" fillId="0" borderId="4" xfId="0" applyFill="1" applyBorder="1" applyAlignment="1">
      <alignment horizontal="left"/>
    </xf>
    <xf numFmtId="0" fontId="0" fillId="0" borderId="5" xfId="0" applyFill="1" applyBorder="1" applyAlignment="1">
      <alignment horizontal="left"/>
    </xf>
    <xf numFmtId="0" fontId="0" fillId="0" borderId="0" xfId="0" applyBorder="1" applyAlignment="1" applyProtection="1">
      <alignment horizontal="left"/>
    </xf>
    <xf numFmtId="0" fontId="4" fillId="2" borderId="0" xfId="0" applyFont="1" applyFill="1" applyBorder="1" applyAlignment="1" applyProtection="1">
      <alignment horizontal="left"/>
    </xf>
    <xf numFmtId="0" fontId="11" fillId="0" borderId="0" xfId="0" applyFont="1" applyBorder="1"/>
    <xf numFmtId="0" fontId="0" fillId="0" borderId="0" xfId="0" applyFont="1" applyFill="1" applyBorder="1" applyAlignment="1">
      <alignment horizontal="center"/>
    </xf>
    <xf numFmtId="0" fontId="0" fillId="0" borderId="33" xfId="0" applyFill="1" applyBorder="1" applyAlignment="1"/>
    <xf numFmtId="0" fontId="0" fillId="0" borderId="30" xfId="0" applyFill="1" applyBorder="1" applyAlignment="1"/>
    <xf numFmtId="0" fontId="0" fillId="0" borderId="34" xfId="0" applyFill="1" applyBorder="1" applyAlignment="1"/>
    <xf numFmtId="0" fontId="0" fillId="0" borderId="25" xfId="0" applyFill="1" applyBorder="1" applyAlignment="1"/>
    <xf numFmtId="0" fontId="4" fillId="0" borderId="26" xfId="0" applyFont="1" applyFill="1" applyBorder="1" applyAlignment="1" applyProtection="1">
      <alignment horizontal="center"/>
    </xf>
    <xf numFmtId="0" fontId="0" fillId="0" borderId="25" xfId="0" applyBorder="1"/>
    <xf numFmtId="0" fontId="0" fillId="0" borderId="26" xfId="0" applyFill="1" applyBorder="1" applyAlignment="1"/>
    <xf numFmtId="0" fontId="3" fillId="0" borderId="26" xfId="0" applyFont="1" applyFill="1" applyBorder="1"/>
    <xf numFmtId="0" fontId="0" fillId="0" borderId="26" xfId="0" applyBorder="1" applyAlignment="1">
      <alignment horizontal="left"/>
    </xf>
    <xf numFmtId="0" fontId="0" fillId="0" borderId="26" xfId="0" applyFill="1" applyBorder="1"/>
    <xf numFmtId="0" fontId="0" fillId="0" borderId="35" xfId="0" applyBorder="1"/>
    <xf numFmtId="0" fontId="0" fillId="0" borderId="29" xfId="0" applyBorder="1"/>
    <xf numFmtId="0" fontId="0" fillId="0" borderId="29" xfId="0" applyFill="1" applyBorder="1"/>
    <xf numFmtId="0" fontId="0" fillId="0" borderId="36" xfId="0" applyFill="1" applyBorder="1"/>
    <xf numFmtId="0" fontId="0" fillId="0" borderId="1" xfId="0" applyFill="1" applyBorder="1" applyProtection="1">
      <protection locked="0"/>
    </xf>
    <xf numFmtId="0" fontId="0" fillId="0" borderId="0" xfId="0" applyProtection="1"/>
    <xf numFmtId="0" fontId="4" fillId="2" borderId="0" xfId="0" applyFont="1" applyFill="1" applyBorder="1" applyProtection="1"/>
    <xf numFmtId="0" fontId="4" fillId="0" borderId="0" xfId="0" applyFont="1" applyFill="1" applyBorder="1" applyProtection="1"/>
    <xf numFmtId="0" fontId="0" fillId="0" borderId="0" xfId="0" applyFill="1" applyBorder="1" applyAlignment="1" applyProtection="1"/>
    <xf numFmtId="0" fontId="0" fillId="0" borderId="0" xfId="0" applyFill="1" applyBorder="1" applyProtection="1"/>
    <xf numFmtId="0" fontId="0" fillId="0" borderId="0" xfId="0" applyFill="1" applyProtection="1"/>
    <xf numFmtId="0" fontId="0" fillId="0" borderId="32" xfId="0" applyBorder="1" applyAlignment="1" applyProtection="1"/>
    <xf numFmtId="0" fontId="0" fillId="0" borderId="0" xfId="0" applyFill="1" applyBorder="1" applyAlignment="1" applyProtection="1">
      <alignment horizontal="center"/>
    </xf>
    <xf numFmtId="0" fontId="0" fillId="0" borderId="0" xfId="0" applyBorder="1" applyAlignment="1" applyProtection="1"/>
    <xf numFmtId="0" fontId="0" fillId="0" borderId="0" xfId="0" applyBorder="1" applyProtection="1"/>
    <xf numFmtId="0" fontId="0" fillId="0" borderId="0" xfId="0" applyBorder="1" applyAlignment="1" applyProtection="1">
      <alignment horizontal="center"/>
    </xf>
    <xf numFmtId="0" fontId="0" fillId="0" borderId="0" xfId="0" applyNumberFormat="1" applyBorder="1" applyAlignment="1" applyProtection="1">
      <alignment horizontal="left" vertical="top"/>
    </xf>
    <xf numFmtId="0" fontId="0" fillId="0" borderId="2" xfId="0" applyBorder="1" applyProtection="1"/>
    <xf numFmtId="0" fontId="0" fillId="0" borderId="2" xfId="0" applyFill="1" applyBorder="1" applyProtection="1"/>
    <xf numFmtId="0" fontId="4" fillId="0" borderId="0" xfId="0" applyFont="1" applyFill="1" applyBorder="1" applyAlignment="1" applyProtection="1"/>
    <xf numFmtId="0" fontId="4" fillId="0" borderId="2" xfId="0" applyFont="1" applyFill="1" applyBorder="1" applyProtection="1"/>
    <xf numFmtId="0" fontId="0" fillId="3" borderId="6" xfId="0" applyFill="1" applyBorder="1" applyAlignment="1" applyProtection="1">
      <alignment horizontal="center"/>
    </xf>
    <xf numFmtId="0" fontId="0" fillId="0" borderId="2" xfId="0" applyNumberFormat="1" applyBorder="1" applyAlignment="1" applyProtection="1">
      <alignment horizontal="left" vertical="top"/>
    </xf>
    <xf numFmtId="0" fontId="0" fillId="0" borderId="0" xfId="0" applyBorder="1" applyAlignment="1" applyProtection="1">
      <alignment horizontal="left" vertical="top" wrapText="1"/>
    </xf>
    <xf numFmtId="0" fontId="3" fillId="0" borderId="31" xfId="0" applyFont="1" applyBorder="1" applyProtection="1"/>
    <xf numFmtId="0" fontId="0" fillId="0" borderId="3" xfId="0" applyBorder="1" applyProtection="1"/>
    <xf numFmtId="0" fontId="0" fillId="0" borderId="4" xfId="0" applyBorder="1" applyProtection="1"/>
    <xf numFmtId="0" fontId="0" fillId="3" borderId="7" xfId="0" applyFill="1" applyBorder="1" applyAlignment="1" applyProtection="1">
      <alignment horizontal="center"/>
    </xf>
    <xf numFmtId="0" fontId="0" fillId="0" borderId="0" xfId="0" applyAlignment="1">
      <alignment horizontal="left" vertical="top"/>
    </xf>
    <xf numFmtId="0" fontId="0" fillId="0" borderId="0" xfId="0" applyFont="1" applyFill="1" applyBorder="1" applyProtection="1">
      <protection locked="0"/>
    </xf>
    <xf numFmtId="0" fontId="0" fillId="0" borderId="0" xfId="0" applyFont="1" applyBorder="1" applyProtection="1">
      <protection locked="0"/>
    </xf>
    <xf numFmtId="0" fontId="0" fillId="0" borderId="0" xfId="0" applyFill="1" applyBorder="1" applyProtection="1">
      <protection locked="0"/>
    </xf>
    <xf numFmtId="0" fontId="0" fillId="0" borderId="0" xfId="0" applyBorder="1" applyProtection="1">
      <protection locked="0"/>
    </xf>
    <xf numFmtId="0" fontId="9" fillId="2" borderId="13" xfId="0" applyFont="1" applyFill="1" applyBorder="1" applyAlignment="1">
      <alignment horizontal="center" vertical="center"/>
    </xf>
    <xf numFmtId="0" fontId="3" fillId="0" borderId="0" xfId="0" applyFont="1" applyAlignment="1">
      <alignment horizontal="left" vertical="top"/>
    </xf>
    <xf numFmtId="0" fontId="3" fillId="0" borderId="0" xfId="0" applyFont="1" applyAlignment="1">
      <alignment horizontal="left" vertical="top" wrapText="1"/>
    </xf>
    <xf numFmtId="0" fontId="0" fillId="0" borderId="0" xfId="0" applyAlignment="1">
      <alignment horizontal="left" vertical="top" wrapText="1"/>
    </xf>
    <xf numFmtId="0" fontId="4" fillId="2" borderId="0" xfId="0" applyFont="1" applyFill="1" applyBorder="1" applyAlignment="1">
      <alignment horizontal="center"/>
    </xf>
    <xf numFmtId="0" fontId="0" fillId="0" borderId="0" xfId="0" applyBorder="1" applyAlignment="1"/>
    <xf numFmtId="0" fontId="0" fillId="3" borderId="7" xfId="0" applyFill="1" applyBorder="1" applyAlignment="1">
      <alignment horizontal="center"/>
    </xf>
    <xf numFmtId="0" fontId="0" fillId="0" borderId="0" xfId="0" applyFill="1" applyBorder="1" applyAlignment="1"/>
    <xf numFmtId="0" fontId="4" fillId="2" borderId="0" xfId="0" applyFont="1" applyFill="1" applyBorder="1" applyAlignment="1"/>
    <xf numFmtId="0" fontId="0" fillId="0" borderId="7" xfId="0" applyBorder="1" applyAlignment="1">
      <alignment horizontal="left" vertical="top" wrapText="1"/>
    </xf>
    <xf numFmtId="0" fontId="0" fillId="0" borderId="11" xfId="0" applyBorder="1" applyAlignment="1">
      <alignment horizontal="left" vertical="top"/>
    </xf>
    <xf numFmtId="0" fontId="0" fillId="0" borderId="13" xfId="0" applyBorder="1" applyAlignment="1">
      <alignment horizontal="left" vertical="top"/>
    </xf>
    <xf numFmtId="0" fontId="3" fillId="0" borderId="37" xfId="0" applyFont="1" applyBorder="1" applyAlignment="1">
      <alignment horizontal="left" vertical="top" wrapText="1"/>
    </xf>
    <xf numFmtId="0" fontId="0" fillId="0" borderId="32" xfId="0" applyBorder="1" applyAlignment="1">
      <alignment horizontal="left" vertical="top" wrapText="1"/>
    </xf>
    <xf numFmtId="0" fontId="0" fillId="0" borderId="38" xfId="0" applyBorder="1" applyAlignment="1">
      <alignment horizontal="left" vertical="top" wrapText="1"/>
    </xf>
    <xf numFmtId="0" fontId="0" fillId="0" borderId="1" xfId="0" applyBorder="1" applyAlignment="1">
      <alignment horizontal="left" vertical="top" wrapText="1"/>
    </xf>
    <xf numFmtId="0" fontId="0" fillId="0" borderId="0" xfId="0" applyFont="1" applyFill="1" applyAlignment="1">
      <alignment vertical="top" wrapText="1"/>
    </xf>
    <xf numFmtId="0" fontId="0" fillId="0" borderId="0" xfId="0" applyFill="1" applyAlignment="1">
      <alignment horizontal="left" vertical="top"/>
    </xf>
    <xf numFmtId="0" fontId="3" fillId="0" borderId="8" xfId="0" applyFont="1" applyBorder="1" applyAlignment="1">
      <alignment horizontal="left" vertical="top"/>
    </xf>
    <xf numFmtId="0" fontId="3" fillId="0" borderId="10" xfId="0" applyFont="1" applyBorder="1" applyAlignment="1">
      <alignment horizontal="left" vertical="top"/>
    </xf>
    <xf numFmtId="0" fontId="0" fillId="0" borderId="12" xfId="0" applyBorder="1" applyAlignment="1">
      <alignment horizontal="left" vertical="top"/>
    </xf>
    <xf numFmtId="0" fontId="0" fillId="0" borderId="14" xfId="0" applyBorder="1" applyAlignment="1">
      <alignment horizontal="left" vertical="top"/>
    </xf>
    <xf numFmtId="0" fontId="4" fillId="0" borderId="2" xfId="0" applyFont="1" applyFill="1" applyBorder="1" applyAlignment="1"/>
    <xf numFmtId="0" fontId="0" fillId="0" borderId="2" xfId="0" applyFill="1" applyBorder="1" applyAlignment="1"/>
    <xf numFmtId="0" fontId="0" fillId="0" borderId="13" xfId="0" applyFill="1" applyBorder="1" applyAlignment="1"/>
    <xf numFmtId="0" fontId="4" fillId="2" borderId="7" xfId="0" applyFont="1" applyFill="1" applyBorder="1"/>
    <xf numFmtId="0" fontId="4" fillId="2" borderId="10" xfId="0" applyFont="1" applyFill="1" applyBorder="1"/>
    <xf numFmtId="0" fontId="0" fillId="0" borderId="14" xfId="0" applyFill="1" applyBorder="1"/>
    <xf numFmtId="0" fontId="3" fillId="0" borderId="9" xfId="0" applyFont="1" applyBorder="1" applyAlignment="1">
      <alignment horizontal="left" vertical="top"/>
    </xf>
    <xf numFmtId="0" fontId="3" fillId="0" borderId="10" xfId="0" applyFont="1" applyBorder="1" applyAlignment="1">
      <alignment horizontal="left" vertical="top" wrapText="1"/>
    </xf>
    <xf numFmtId="0" fontId="0" fillId="0" borderId="0" xfId="0" applyBorder="1" applyAlignment="1">
      <alignment horizontal="left" vertical="top"/>
    </xf>
    <xf numFmtId="0" fontId="0" fillId="0" borderId="11" xfId="0" applyBorder="1" applyAlignment="1">
      <alignment vertical="top" wrapText="1"/>
    </xf>
    <xf numFmtId="0" fontId="0" fillId="0" borderId="2" xfId="0" applyBorder="1" applyAlignment="1">
      <alignment horizontal="left" vertical="top"/>
    </xf>
    <xf numFmtId="0" fontId="0" fillId="0" borderId="13" xfId="0" applyBorder="1" applyAlignment="1">
      <alignment vertical="top" wrapText="1"/>
    </xf>
    <xf numFmtId="0" fontId="3" fillId="0" borderId="9" xfId="0" applyFont="1" applyBorder="1" applyAlignment="1">
      <alignment horizontal="left" vertical="top" wrapText="1"/>
    </xf>
    <xf numFmtId="0" fontId="0" fillId="0" borderId="0" xfId="0" applyBorder="1" applyAlignment="1">
      <alignment vertical="top" wrapText="1"/>
    </xf>
    <xf numFmtId="0" fontId="0" fillId="0" borderId="2" xfId="0" applyBorder="1" applyAlignment="1">
      <alignment vertical="top" wrapText="1"/>
    </xf>
    <xf numFmtId="0" fontId="0" fillId="0" borderId="11" xfId="0" applyBorder="1" applyAlignment="1">
      <alignment horizontal="left" vertical="top" wrapText="1"/>
    </xf>
    <xf numFmtId="0" fontId="0" fillId="0" borderId="11" xfId="0" applyFont="1" applyBorder="1" applyAlignment="1">
      <alignment vertical="top" wrapText="1"/>
    </xf>
    <xf numFmtId="0" fontId="0" fillId="0" borderId="11" xfId="0" applyBorder="1" applyAlignment="1">
      <alignment wrapText="1"/>
    </xf>
    <xf numFmtId="0" fontId="0" fillId="0" borderId="11" xfId="0" applyFont="1" applyBorder="1" applyAlignment="1">
      <alignment wrapText="1"/>
    </xf>
    <xf numFmtId="0" fontId="0" fillId="0" borderId="13" xfId="0" applyFont="1" applyBorder="1" applyAlignment="1">
      <alignmen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6" xfId="0" applyBorder="1" applyAlignment="1">
      <alignment horizontal="left" vertical="top"/>
    </xf>
    <xf numFmtId="0" fontId="0" fillId="0" borderId="7" xfId="0" applyFont="1" applyFill="1" applyBorder="1" applyAlignment="1">
      <alignment vertical="top" wrapText="1"/>
    </xf>
    <xf numFmtId="0" fontId="0" fillId="0" borderId="8"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wrapText="1"/>
    </xf>
    <xf numFmtId="0" fontId="0" fillId="0" borderId="13" xfId="0" applyBorder="1" applyAlignment="1">
      <alignment horizontal="left" vertical="top" wrapText="1"/>
    </xf>
    <xf numFmtId="0" fontId="0" fillId="3" borderId="0" xfId="0" applyFill="1" applyBorder="1" applyAlignment="1">
      <alignment horizontal="center" textRotation="90"/>
    </xf>
    <xf numFmtId="0" fontId="0" fillId="0" borderId="0" xfId="0" applyBorder="1" applyAlignment="1"/>
    <xf numFmtId="0" fontId="4" fillId="2" borderId="0" xfId="0" applyFont="1" applyFill="1" applyBorder="1" applyAlignment="1">
      <alignment horizontal="center"/>
    </xf>
    <xf numFmtId="0" fontId="0" fillId="0" borderId="0" xfId="0" applyBorder="1" applyAlignment="1">
      <alignment horizontal="center"/>
    </xf>
    <xf numFmtId="0" fontId="0" fillId="0" borderId="0" xfId="0" applyFill="1" applyBorder="1" applyAlignment="1"/>
    <xf numFmtId="0" fontId="4" fillId="2" borderId="0" xfId="0" applyFont="1" applyFill="1" applyBorder="1" applyAlignment="1"/>
    <xf numFmtId="0" fontId="0" fillId="0" borderId="28" xfId="0" applyBorder="1" applyAlignment="1">
      <alignment horizontal="center"/>
    </xf>
    <xf numFmtId="0" fontId="9" fillId="2" borderId="0" xfId="0" applyFont="1" applyFill="1" applyBorder="1" applyAlignment="1">
      <alignment horizontal="center" vertical="center"/>
    </xf>
    <xf numFmtId="0" fontId="5" fillId="0" borderId="0" xfId="0" applyFont="1" applyBorder="1" applyAlignment="1">
      <alignment horizontal="center"/>
    </xf>
    <xf numFmtId="0" fontId="9" fillId="2" borderId="0" xfId="0" applyFont="1" applyFill="1" applyBorder="1" applyAlignment="1">
      <alignment horizontal="center"/>
    </xf>
    <xf numFmtId="0" fontId="0" fillId="0" borderId="0" xfId="0" applyBorder="1" applyAlignment="1">
      <alignment horizontal="center"/>
    </xf>
    <xf numFmtId="0" fontId="0" fillId="0" borderId="0" xfId="0" applyBorder="1" applyAlignment="1" applyProtection="1"/>
    <xf numFmtId="0" fontId="0" fillId="0" borderId="0" xfId="0" applyAlignment="1">
      <alignment horizontal="left"/>
    </xf>
    <xf numFmtId="0" fontId="13" fillId="8" borderId="1" xfId="0" applyFont="1" applyFill="1" applyBorder="1" applyAlignment="1">
      <alignment horizontal="center"/>
    </xf>
    <xf numFmtId="0" fontId="13" fillId="5" borderId="1" xfId="0" applyFont="1" applyFill="1" applyBorder="1" applyAlignment="1">
      <alignment horizontal="center"/>
    </xf>
    <xf numFmtId="0" fontId="13" fillId="7" borderId="1" xfId="0" applyFont="1" applyFill="1" applyBorder="1" applyAlignment="1">
      <alignment horizontal="center"/>
    </xf>
    <xf numFmtId="0" fontId="13" fillId="6" borderId="1" xfId="0" applyFont="1" applyFill="1" applyBorder="1" applyAlignment="1">
      <alignment horizontal="center"/>
    </xf>
    <xf numFmtId="0" fontId="13" fillId="9" borderId="1" xfId="0" applyFont="1" applyFill="1" applyBorder="1" applyAlignment="1">
      <alignment horizontal="center"/>
    </xf>
    <xf numFmtId="0" fontId="0" fillId="0" borderId="20" xfId="0" quotePrefix="1" applyBorder="1" applyAlignment="1">
      <alignment horizontal="center"/>
    </xf>
    <xf numFmtId="0" fontId="0" fillId="0" borderId="19" xfId="0" applyBorder="1" applyAlignment="1">
      <alignment horizontal="left"/>
    </xf>
    <xf numFmtId="0" fontId="0" fillId="0" borderId="22" xfId="0" applyBorder="1" applyAlignment="1">
      <alignment horizontal="left"/>
    </xf>
    <xf numFmtId="0" fontId="0" fillId="0" borderId="39" xfId="0" applyBorder="1" applyAlignment="1">
      <alignment horizontal="left"/>
    </xf>
    <xf numFmtId="16" fontId="0" fillId="0" borderId="40" xfId="0" quotePrefix="1" applyNumberFormat="1"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3" fillId="0" borderId="22" xfId="0" applyFont="1" applyBorder="1"/>
    <xf numFmtId="0" fontId="3" fillId="0" borderId="23" xfId="0" applyFont="1" applyBorder="1"/>
    <xf numFmtId="0" fontId="3" fillId="0" borderId="24" xfId="0" applyFont="1" applyBorder="1"/>
    <xf numFmtId="0" fontId="9" fillId="5" borderId="1" xfId="0" applyFont="1" applyFill="1" applyBorder="1"/>
    <xf numFmtId="0" fontId="4" fillId="7"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0" borderId="0" xfId="0" applyFont="1" applyBorder="1" applyAlignment="1">
      <alignment horizontal="center"/>
    </xf>
    <xf numFmtId="0" fontId="9" fillId="10" borderId="1" xfId="0" applyFont="1" applyFill="1" applyBorder="1" applyAlignment="1">
      <alignment horizontal="center" vertical="center"/>
    </xf>
    <xf numFmtId="0" fontId="13" fillId="10" borderId="1" xfId="0" applyFont="1" applyFill="1" applyBorder="1" applyAlignment="1">
      <alignment horizontal="center"/>
    </xf>
    <xf numFmtId="0" fontId="0" fillId="0" borderId="12" xfId="0" applyBorder="1" applyProtection="1"/>
    <xf numFmtId="0" fontId="3" fillId="0" borderId="0" xfId="0" applyFont="1" applyBorder="1" applyProtection="1"/>
    <xf numFmtId="0" fontId="0" fillId="0" borderId="11" xfId="0" applyBorder="1" applyProtection="1"/>
    <xf numFmtId="0" fontId="5" fillId="0" borderId="0" xfId="0" applyFont="1" applyBorder="1" applyAlignment="1" applyProtection="1">
      <alignment horizontal="center"/>
    </xf>
    <xf numFmtId="0" fontId="0" fillId="0" borderId="6" xfId="0" applyBorder="1" applyProtection="1"/>
    <xf numFmtId="0" fontId="0" fillId="3" borderId="0" xfId="0" applyFill="1" applyBorder="1" applyProtection="1"/>
    <xf numFmtId="0" fontId="3" fillId="0" borderId="1" xfId="0" applyFont="1" applyBorder="1" applyAlignment="1" applyProtection="1">
      <alignment horizontal="center"/>
      <protection locked="0"/>
    </xf>
    <xf numFmtId="0" fontId="14" fillId="0" borderId="0" xfId="0" applyFont="1" applyAlignment="1">
      <alignment horizontal="left" vertical="top"/>
    </xf>
    <xf numFmtId="0" fontId="3" fillId="0" borderId="8" xfId="0" applyFont="1" applyBorder="1" applyAlignment="1">
      <alignment horizontal="left" vertical="top" wrapText="1"/>
    </xf>
    <xf numFmtId="0" fontId="0" fillId="0" borderId="1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3" fillId="0" borderId="0" xfId="0" applyFont="1" applyBorder="1" applyAlignment="1">
      <alignment horizontal="left" vertical="top"/>
    </xf>
    <xf numFmtId="0" fontId="3" fillId="0" borderId="0" xfId="0" applyFont="1" applyBorder="1" applyAlignment="1">
      <alignment horizontal="left" vertical="top" wrapText="1"/>
    </xf>
    <xf numFmtId="0" fontId="0" fillId="0" borderId="0" xfId="0" applyFont="1" applyBorder="1" applyAlignment="1">
      <alignment vertical="top" wrapText="1"/>
    </xf>
    <xf numFmtId="0" fontId="0" fillId="0" borderId="0" xfId="0" applyBorder="1" applyAlignment="1">
      <alignment wrapText="1"/>
    </xf>
    <xf numFmtId="0" fontId="0" fillId="0" borderId="0" xfId="0" applyFont="1" applyFill="1" applyBorder="1" applyAlignment="1">
      <alignment vertical="top" wrapText="1"/>
    </xf>
    <xf numFmtId="0" fontId="14" fillId="0" borderId="0" xfId="0" applyFont="1" applyBorder="1" applyAlignment="1">
      <alignment horizontal="left" vertical="top"/>
    </xf>
    <xf numFmtId="0" fontId="0" fillId="0" borderId="9" xfId="0" applyBorder="1" applyAlignment="1">
      <alignment horizontal="left" vertical="top" wrapText="1"/>
    </xf>
    <xf numFmtId="0" fontId="0" fillId="0" borderId="2" xfId="0" applyBorder="1" applyAlignment="1">
      <alignment horizontal="left" vertical="top" wrapText="1"/>
    </xf>
    <xf numFmtId="0" fontId="0" fillId="11" borderId="0" xfId="0" applyFill="1"/>
    <xf numFmtId="2" fontId="0" fillId="0" borderId="0" xfId="0" applyNumberFormat="1"/>
    <xf numFmtId="0" fontId="0" fillId="12" borderId="45" xfId="0" applyFill="1" applyBorder="1" applyAlignment="1" applyProtection="1">
      <alignment horizontal="center" vertical="center" wrapText="1"/>
      <protection locked="0"/>
    </xf>
    <xf numFmtId="0" fontId="0" fillId="12" borderId="44" xfId="0" applyFill="1" applyBorder="1" applyAlignment="1" applyProtection="1">
      <alignment horizontal="center" vertical="center" wrapText="1"/>
      <protection locked="0"/>
    </xf>
    <xf numFmtId="0" fontId="0" fillId="12" borderId="43" xfId="0" applyFill="1" applyBorder="1" applyAlignment="1" applyProtection="1">
      <alignment horizontal="center" vertical="center" wrapText="1"/>
      <protection locked="0"/>
    </xf>
    <xf numFmtId="0" fontId="0" fillId="12" borderId="42" xfId="0" applyFill="1" applyBorder="1" applyAlignment="1" applyProtection="1">
      <alignment horizontal="center" vertical="center" wrapText="1"/>
      <protection locked="0"/>
    </xf>
    <xf numFmtId="0" fontId="0" fillId="11" borderId="0" xfId="0" applyFill="1" applyAlignment="1">
      <alignment wrapText="1"/>
    </xf>
    <xf numFmtId="0" fontId="0" fillId="0" borderId="0" xfId="0" applyNumberFormat="1" applyBorder="1" applyAlignment="1">
      <alignment horizontal="left" vertical="top" wrapText="1"/>
    </xf>
    <xf numFmtId="0" fontId="0" fillId="0" borderId="0" xfId="0" applyAlignment="1">
      <alignment vertical="top"/>
    </xf>
    <xf numFmtId="0" fontId="0" fillId="0" borderId="0" xfId="0" applyNumberFormat="1" applyAlignment="1">
      <alignment vertical="top" wrapText="1"/>
    </xf>
    <xf numFmtId="0" fontId="0" fillId="0" borderId="0" xfId="0" applyAlignment="1">
      <alignment vertical="top" wrapText="1"/>
    </xf>
    <xf numFmtId="0" fontId="0" fillId="0" borderId="0" xfId="0" applyNumberFormat="1" applyAlignment="1">
      <alignment vertical="top"/>
    </xf>
    <xf numFmtId="0" fontId="3" fillId="0" borderId="37" xfId="0" applyFont="1" applyBorder="1"/>
    <xf numFmtId="0" fontId="12" fillId="12" borderId="45" xfId="0" applyFont="1" applyFill="1" applyBorder="1" applyAlignment="1" applyProtection="1">
      <alignment horizontal="center" vertical="center" wrapText="1"/>
      <protection locked="0"/>
    </xf>
    <xf numFmtId="0" fontId="12" fillId="12" borderId="44" xfId="0" applyFont="1" applyFill="1" applyBorder="1" applyAlignment="1" applyProtection="1">
      <alignment horizontal="center" vertical="center" wrapText="1"/>
      <protection locked="0"/>
    </xf>
    <xf numFmtId="0" fontId="12" fillId="11" borderId="0" xfId="0" applyFont="1" applyFill="1" applyAlignment="1">
      <alignment wrapText="1"/>
    </xf>
    <xf numFmtId="0" fontId="12" fillId="12" borderId="43" xfId="0" applyFont="1" applyFill="1" applyBorder="1" applyAlignment="1" applyProtection="1">
      <alignment horizontal="center" vertical="center" wrapText="1"/>
      <protection locked="0"/>
    </xf>
    <xf numFmtId="0" fontId="12" fillId="12" borderId="42" xfId="0" applyFont="1" applyFill="1" applyBorder="1" applyAlignment="1" applyProtection="1">
      <alignment horizontal="center" vertical="center" wrapText="1"/>
      <protection locked="0"/>
    </xf>
    <xf numFmtId="0" fontId="0" fillId="0" borderId="0" xfId="0" applyFill="1" applyBorder="1" applyAlignment="1"/>
    <xf numFmtId="0" fontId="0" fillId="0" borderId="0" xfId="0" applyAlignment="1">
      <alignment horizontal="center"/>
    </xf>
    <xf numFmtId="49" fontId="0" fillId="0" borderId="0" xfId="0" applyNumberFormat="1"/>
    <xf numFmtId="0" fontId="3" fillId="0" borderId="0" xfId="0" applyFont="1" applyAlignment="1">
      <alignment horizontal="left"/>
    </xf>
    <xf numFmtId="0" fontId="0" fillId="0" borderId="0" xfId="0" quotePrefix="1"/>
    <xf numFmtId="49" fontId="3" fillId="0" borderId="0" xfId="0" applyNumberFormat="1" applyFont="1"/>
    <xf numFmtId="0" fontId="0" fillId="0" borderId="0" xfId="0" applyNumberFormat="1" applyAlignment="1">
      <alignment horizontal="center"/>
    </xf>
    <xf numFmtId="0" fontId="0" fillId="0" borderId="0" xfId="0" applyBorder="1" applyAlignment="1"/>
    <xf numFmtId="0" fontId="4" fillId="2" borderId="0" xfId="0" applyFont="1" applyFill="1" applyBorder="1" applyAlignment="1">
      <alignment horizontal="center"/>
    </xf>
    <xf numFmtId="0" fontId="0" fillId="0" borderId="0" xfId="0" applyBorder="1" applyAlignment="1">
      <alignment horizontal="center"/>
    </xf>
    <xf numFmtId="0" fontId="0" fillId="0" borderId="0" xfId="0" applyFill="1" applyBorder="1" applyAlignment="1"/>
    <xf numFmtId="0" fontId="4" fillId="2" borderId="0" xfId="0" applyFont="1" applyFill="1" applyBorder="1" applyAlignment="1"/>
    <xf numFmtId="0" fontId="0" fillId="0" borderId="37" xfId="0" applyBorder="1"/>
    <xf numFmtId="0" fontId="0" fillId="0" borderId="32" xfId="0" applyBorder="1"/>
    <xf numFmtId="0" fontId="0" fillId="0" borderId="38" xfId="0" applyBorder="1"/>
    <xf numFmtId="0" fontId="16" fillId="0" borderId="0" xfId="0" applyFont="1" applyFill="1" applyBorder="1" applyAlignment="1">
      <alignment horizontal="center"/>
    </xf>
    <xf numFmtId="0" fontId="16" fillId="0" borderId="0" xfId="0" applyFont="1" applyBorder="1" applyAlignment="1">
      <alignment horizontal="center"/>
    </xf>
    <xf numFmtId="0" fontId="17" fillId="0" borderId="0" xfId="0" applyFont="1" applyFill="1" applyBorder="1" applyAlignment="1">
      <alignment horizontal="center"/>
    </xf>
    <xf numFmtId="0" fontId="12" fillId="3" borderId="1" xfId="0" applyFont="1" applyFill="1" applyBorder="1" applyAlignment="1" applyProtection="1">
      <alignment horizontal="center"/>
    </xf>
    <xf numFmtId="0" fontId="17" fillId="0" borderId="0" xfId="0" applyFont="1" applyBorder="1" applyAlignment="1">
      <alignment horizontal="center"/>
    </xf>
    <xf numFmtId="0" fontId="2" fillId="0" borderId="0" xfId="0" applyFont="1" applyBorder="1"/>
    <xf numFmtId="0" fontId="9" fillId="14" borderId="1" xfId="0" applyFont="1" applyFill="1" applyBorder="1" applyAlignment="1">
      <alignment horizontal="center" vertical="center"/>
    </xf>
    <xf numFmtId="0" fontId="18" fillId="0" borderId="0" xfId="0" applyFont="1" applyFill="1" applyBorder="1" applyAlignment="1">
      <alignment horizontal="center"/>
    </xf>
    <xf numFmtId="0" fontId="12" fillId="0" borderId="1" xfId="0" applyFont="1" applyFill="1" applyBorder="1" applyAlignment="1" applyProtection="1">
      <alignment horizontal="center"/>
      <protection locked="0"/>
    </xf>
    <xf numFmtId="0" fontId="3" fillId="7" borderId="1" xfId="0" applyFont="1" applyFill="1" applyBorder="1" applyAlignment="1">
      <alignment horizontal="center"/>
    </xf>
    <xf numFmtId="0" fontId="3" fillId="16" borderId="1" xfId="0" applyFont="1" applyFill="1" applyBorder="1" applyAlignment="1">
      <alignment horizontal="center"/>
    </xf>
    <xf numFmtId="0" fontId="3" fillId="13" borderId="1" xfId="0" applyFont="1" applyFill="1" applyBorder="1" applyAlignment="1">
      <alignment horizontal="center"/>
    </xf>
    <xf numFmtId="0" fontId="3" fillId="11" borderId="1" xfId="0" applyFont="1" applyFill="1" applyBorder="1" applyAlignment="1">
      <alignment horizontal="center"/>
    </xf>
    <xf numFmtId="0" fontId="3" fillId="15" borderId="1" xfId="0" applyFont="1" applyFill="1" applyBorder="1" applyAlignment="1">
      <alignment horizontal="center"/>
    </xf>
    <xf numFmtId="0" fontId="3" fillId="3" borderId="1" xfId="0" applyFont="1" applyFill="1" applyBorder="1" applyAlignment="1">
      <alignment horizontal="center"/>
    </xf>
    <xf numFmtId="0" fontId="3" fillId="0" borderId="0" xfId="0" applyFont="1" applyFill="1" applyBorder="1" applyAlignment="1">
      <alignment horizontal="center"/>
    </xf>
    <xf numFmtId="0" fontId="3" fillId="0" borderId="0" xfId="0" applyFont="1" applyBorder="1" applyAlignment="1" applyProtection="1">
      <alignment horizontal="center"/>
    </xf>
    <xf numFmtId="165" fontId="0" fillId="0" borderId="0" xfId="1" applyNumberFormat="1" applyFont="1"/>
    <xf numFmtId="2" fontId="0" fillId="0" borderId="1" xfId="0" applyNumberFormat="1" applyBorder="1" applyAlignment="1" applyProtection="1">
      <alignment horizontal="center"/>
      <protection locked="0"/>
    </xf>
    <xf numFmtId="2" fontId="3" fillId="3" borderId="1" xfId="0" applyNumberFormat="1" applyFont="1" applyFill="1" applyBorder="1" applyAlignment="1">
      <alignment horizontal="center"/>
    </xf>
    <xf numFmtId="0" fontId="0" fillId="0" borderId="0" xfId="0" applyBorder="1" applyAlignment="1"/>
    <xf numFmtId="0" fontId="0" fillId="0" borderId="0" xfId="0" applyAlignment="1">
      <alignment wrapText="1"/>
    </xf>
    <xf numFmtId="0" fontId="3" fillId="0" borderId="0" xfId="0" applyFont="1" applyBorder="1" applyAlignment="1">
      <alignment wrapText="1"/>
    </xf>
    <xf numFmtId="44" fontId="0" fillId="0" borderId="0" xfId="0" applyNumberFormat="1" applyBorder="1" applyAlignment="1"/>
    <xf numFmtId="44" fontId="3" fillId="0" borderId="0" xfId="0" applyNumberFormat="1" applyFont="1" applyBorder="1" applyAlignment="1">
      <alignment wrapText="1"/>
    </xf>
    <xf numFmtId="44" fontId="0" fillId="0" borderId="0" xfId="0" applyNumberFormat="1" applyBorder="1" applyAlignment="1">
      <alignment wrapText="1"/>
    </xf>
    <xf numFmtId="0" fontId="0" fillId="0" borderId="0" xfId="0" applyFont="1" applyBorder="1" applyAlignment="1">
      <alignment wrapText="1"/>
    </xf>
    <xf numFmtId="0" fontId="0" fillId="0" borderId="0" xfId="0" applyAlignment="1">
      <alignment horizontal="left" wrapText="1"/>
    </xf>
    <xf numFmtId="0" fontId="3" fillId="0" borderId="1" xfId="0" applyFont="1" applyBorder="1" applyAlignment="1">
      <alignment horizontal="left" wrapText="1"/>
    </xf>
    <xf numFmtId="0" fontId="0" fillId="0" borderId="1" xfId="0" applyBorder="1" applyAlignment="1">
      <alignment horizontal="left" wrapText="1"/>
    </xf>
    <xf numFmtId="0" fontId="20" fillId="17" borderId="1" xfId="0" applyFont="1" applyFill="1" applyBorder="1" applyAlignment="1">
      <alignment horizontal="center" wrapText="1"/>
    </xf>
    <xf numFmtId="0" fontId="0" fillId="0" borderId="32" xfId="0" applyBorder="1" applyAlignment="1">
      <alignment horizontal="left" wrapText="1"/>
    </xf>
    <xf numFmtId="0" fontId="21" fillId="16" borderId="1" xfId="0" applyFont="1" applyFill="1" applyBorder="1" applyAlignment="1">
      <alignment horizontal="center" wrapText="1"/>
    </xf>
    <xf numFmtId="0" fontId="22" fillId="0" borderId="32" xfId="0" applyFont="1" applyBorder="1" applyAlignment="1">
      <alignment horizontal="left" wrapText="1"/>
    </xf>
    <xf numFmtId="0" fontId="22" fillId="3" borderId="1" xfId="0" applyFont="1" applyFill="1"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3" fillId="16" borderId="1" xfId="0" applyFont="1" applyFill="1" applyBorder="1" applyAlignment="1">
      <alignment horizontal="left" wrapText="1"/>
    </xf>
    <xf numFmtId="0" fontId="21" fillId="18" borderId="1" xfId="0" applyFont="1" applyFill="1" applyBorder="1" applyAlignment="1">
      <alignment horizontal="center" wrapText="1"/>
    </xf>
    <xf numFmtId="0" fontId="0" fillId="0" borderId="0" xfId="0" applyAlignment="1">
      <alignment horizontal="center" vertical="top"/>
    </xf>
    <xf numFmtId="0" fontId="0" fillId="0" borderId="11" xfId="0" applyFill="1" applyBorder="1" applyAlignment="1" applyProtection="1"/>
    <xf numFmtId="0" fontId="4" fillId="2" borderId="0" xfId="0" applyFont="1" applyFill="1" applyBorder="1" applyAlignment="1">
      <alignment horizontal="center"/>
    </xf>
    <xf numFmtId="0" fontId="0" fillId="0" borderId="0" xfId="0" applyBorder="1" applyAlignment="1"/>
    <xf numFmtId="0" fontId="0" fillId="0" borderId="0" xfId="0" applyBorder="1" applyAlignment="1">
      <alignment horizontal="center"/>
    </xf>
    <xf numFmtId="0" fontId="0" fillId="0" borderId="0" xfId="0" applyFill="1" applyBorder="1" applyAlignment="1"/>
    <xf numFmtId="0" fontId="4" fillId="2" borderId="0" xfId="0" applyFont="1" applyFill="1" applyBorder="1" applyAlignment="1"/>
    <xf numFmtId="0" fontId="1" fillId="0" borderId="0" xfId="0" applyFont="1" applyFill="1" applyBorder="1" applyAlignment="1" applyProtection="1">
      <alignment horizontal="left"/>
    </xf>
    <xf numFmtId="0" fontId="1" fillId="0" borderId="0" xfId="0" applyFont="1" applyFill="1" applyBorder="1" applyAlignment="1" applyProtection="1">
      <alignment horizontal="center"/>
    </xf>
    <xf numFmtId="0" fontId="1" fillId="0" borderId="11" xfId="0" applyFont="1" applyFill="1" applyBorder="1" applyProtection="1"/>
    <xf numFmtId="0" fontId="0" fillId="0" borderId="12" xfId="0" applyFill="1" applyBorder="1" applyProtection="1"/>
    <xf numFmtId="0" fontId="4" fillId="2" borderId="7" xfId="0" applyFont="1" applyFill="1" applyBorder="1" applyProtection="1"/>
    <xf numFmtId="0" fontId="0" fillId="0" borderId="25" xfId="0" applyBorder="1" applyAlignment="1" applyProtection="1">
      <alignment horizontal="center"/>
    </xf>
    <xf numFmtId="0" fontId="0" fillId="0" borderId="8" xfId="0" applyBorder="1" applyProtection="1"/>
    <xf numFmtId="0" fontId="0" fillId="0" borderId="9" xfId="0" applyBorder="1" applyProtection="1"/>
    <xf numFmtId="0" fontId="0" fillId="0" borderId="9" xfId="0" applyFill="1" applyBorder="1" applyProtection="1"/>
    <xf numFmtId="0" fontId="0" fillId="0" borderId="10" xfId="0" applyBorder="1" applyProtection="1"/>
    <xf numFmtId="0" fontId="3" fillId="0" borderId="37" xfId="0" applyFont="1" applyBorder="1" applyAlignment="1">
      <alignment horizontal="left" wrapText="1"/>
    </xf>
    <xf numFmtId="0" fontId="0" fillId="0" borderId="37" xfId="0" applyFont="1" applyBorder="1" applyAlignment="1">
      <alignment horizontal="left" wrapText="1"/>
    </xf>
    <xf numFmtId="0" fontId="3" fillId="13" borderId="0" xfId="0" applyFont="1" applyFill="1" applyBorder="1" applyAlignment="1">
      <alignment horizontal="left" vertical="top"/>
    </xf>
    <xf numFmtId="0" fontId="3" fillId="13" borderId="0" xfId="0" applyFont="1" applyFill="1" applyBorder="1" applyAlignment="1">
      <alignment horizontal="left" vertical="top" wrapText="1"/>
    </xf>
    <xf numFmtId="0" fontId="3" fillId="20" borderId="0" xfId="0" applyFont="1" applyFill="1" applyBorder="1" applyAlignment="1">
      <alignment horizontal="left" vertical="top"/>
    </xf>
    <xf numFmtId="0" fontId="3" fillId="20" borderId="0" xfId="0" applyFont="1" applyFill="1" applyBorder="1" applyAlignment="1">
      <alignment horizontal="left" vertical="top" wrapText="1"/>
    </xf>
    <xf numFmtId="16" fontId="0" fillId="0" borderId="0" xfId="0" applyNumberFormat="1"/>
    <xf numFmtId="0" fontId="4" fillId="2" borderId="0" xfId="0" applyFont="1" applyFill="1" applyBorder="1" applyAlignment="1">
      <alignment horizontal="center"/>
    </xf>
    <xf numFmtId="0" fontId="0" fillId="2" borderId="0" xfId="0" applyFill="1" applyBorder="1" applyAlignment="1">
      <alignment horizontal="center"/>
    </xf>
    <xf numFmtId="0" fontId="0" fillId="2" borderId="0" xfId="0" applyFill="1" applyBorder="1" applyAlignment="1"/>
    <xf numFmtId="0" fontId="9" fillId="14" borderId="8" xfId="0" applyFont="1" applyFill="1" applyBorder="1" applyAlignment="1">
      <alignment horizontal="center" vertical="center"/>
    </xf>
    <xf numFmtId="0" fontId="9" fillId="14" borderId="9" xfId="0" applyFont="1" applyFill="1" applyBorder="1" applyAlignment="1">
      <alignment horizontal="center" vertical="center"/>
    </xf>
    <xf numFmtId="0" fontId="9" fillId="14" borderId="10" xfId="0" applyFont="1" applyFill="1" applyBorder="1" applyAlignment="1">
      <alignment horizontal="center" vertical="center"/>
    </xf>
    <xf numFmtId="0" fontId="9" fillId="14" borderId="12" xfId="0" applyFont="1" applyFill="1" applyBorder="1" applyAlignment="1">
      <alignment horizontal="center" vertical="center"/>
    </xf>
    <xf numFmtId="0" fontId="9" fillId="14" borderId="0" xfId="0" applyFont="1" applyFill="1" applyBorder="1" applyAlignment="1">
      <alignment horizontal="center" vertical="center"/>
    </xf>
    <xf numFmtId="0" fontId="9" fillId="14" borderId="11" xfId="0" applyFont="1" applyFill="1" applyBorder="1" applyAlignment="1">
      <alignment horizontal="center" vertical="center"/>
    </xf>
    <xf numFmtId="0" fontId="9" fillId="14" borderId="14" xfId="0" applyFont="1" applyFill="1" applyBorder="1" applyAlignment="1">
      <alignment horizontal="center" vertical="center"/>
    </xf>
    <xf numFmtId="0" fontId="9" fillId="14" borderId="2" xfId="0" applyFont="1" applyFill="1" applyBorder="1" applyAlignment="1">
      <alignment horizontal="center" vertical="center"/>
    </xf>
    <xf numFmtId="0" fontId="9" fillId="14" borderId="13" xfId="0" applyFont="1" applyFill="1" applyBorder="1" applyAlignment="1">
      <alignment horizontal="center" vertical="center"/>
    </xf>
    <xf numFmtId="0" fontId="0" fillId="0" borderId="15" xfId="0" applyBorder="1" applyAlignment="1" applyProtection="1">
      <protection locked="0"/>
    </xf>
    <xf numFmtId="0" fontId="0" fillId="0" borderId="6" xfId="0" applyBorder="1" applyAlignment="1" applyProtection="1">
      <protection locked="0"/>
    </xf>
    <xf numFmtId="0" fontId="0" fillId="0" borderId="7" xfId="0" applyBorder="1" applyAlignment="1" applyProtection="1">
      <protection locked="0"/>
    </xf>
    <xf numFmtId="0" fontId="9" fillId="2" borderId="0" xfId="0" applyFont="1" applyFill="1" applyBorder="1" applyAlignment="1">
      <alignment horizontal="center"/>
    </xf>
    <xf numFmtId="0" fontId="4" fillId="8" borderId="15" xfId="0" applyFont="1" applyFill="1" applyBorder="1" applyAlignment="1">
      <alignment horizontal="center" vertical="center"/>
    </xf>
    <xf numFmtId="0" fontId="0" fillId="8" borderId="6" xfId="0" applyFill="1" applyBorder="1" applyAlignment="1"/>
    <xf numFmtId="0" fontId="0" fillId="8" borderId="7" xfId="0" applyFill="1" applyBorder="1" applyAlignment="1"/>
    <xf numFmtId="0" fontId="12" fillId="0" borderId="8" xfId="0" applyFont="1" applyBorder="1" applyAlignment="1">
      <alignment horizontal="left" vertical="top" wrapText="1"/>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2" xfId="0" applyFont="1" applyBorder="1" applyAlignment="1">
      <alignment horizontal="left" vertical="top" wrapText="1"/>
    </xf>
    <xf numFmtId="0" fontId="12" fillId="0" borderId="0" xfId="0" applyFont="1" applyBorder="1" applyAlignment="1">
      <alignment horizontal="left" vertical="top" wrapText="1"/>
    </xf>
    <xf numFmtId="0" fontId="12" fillId="0" borderId="11" xfId="0" applyFont="1" applyBorder="1" applyAlignment="1">
      <alignment horizontal="left" vertical="top" wrapText="1"/>
    </xf>
    <xf numFmtId="0" fontId="12" fillId="0" borderId="14" xfId="0" applyFont="1" applyBorder="1" applyAlignment="1">
      <alignment horizontal="left" vertical="top" wrapText="1"/>
    </xf>
    <xf numFmtId="0" fontId="12" fillId="0" borderId="2" xfId="0" applyFont="1" applyBorder="1" applyAlignment="1">
      <alignment horizontal="left" vertical="top" wrapText="1"/>
    </xf>
    <xf numFmtId="0" fontId="12" fillId="0" borderId="13" xfId="0" applyFont="1" applyBorder="1" applyAlignment="1">
      <alignment horizontal="left" vertical="top" wrapText="1"/>
    </xf>
    <xf numFmtId="0" fontId="0" fillId="0" borderId="1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9" fillId="2" borderId="0" xfId="0" applyFont="1" applyFill="1" applyBorder="1" applyAlignment="1">
      <alignment horizontal="center" vertical="center"/>
    </xf>
    <xf numFmtId="0" fontId="0" fillId="3" borderId="15" xfId="0" applyFill="1" applyBorder="1" applyAlignment="1" applyProtection="1">
      <alignment horizontal="center"/>
    </xf>
    <xf numFmtId="0" fontId="0" fillId="3" borderId="6" xfId="0" applyFill="1" applyBorder="1" applyAlignment="1" applyProtection="1">
      <alignment horizontal="center"/>
    </xf>
    <xf numFmtId="0" fontId="0" fillId="3" borderId="7" xfId="0" applyFill="1" applyBorder="1" applyAlignment="1" applyProtection="1">
      <alignment horizontal="center"/>
    </xf>
    <xf numFmtId="0" fontId="0" fillId="3" borderId="15" xfId="0" applyFill="1" applyBorder="1" applyAlignment="1">
      <alignment horizontal="center"/>
    </xf>
    <xf numFmtId="0" fontId="0" fillId="3" borderId="6" xfId="0" applyFill="1" applyBorder="1" applyAlignment="1">
      <alignment horizontal="center"/>
    </xf>
    <xf numFmtId="0" fontId="0" fillId="3" borderId="7" xfId="0" applyFill="1" applyBorder="1" applyAlignment="1">
      <alignment horizontal="center"/>
    </xf>
    <xf numFmtId="0" fontId="15" fillId="13" borderId="15" xfId="0" applyFont="1" applyFill="1" applyBorder="1" applyAlignment="1">
      <alignment horizontal="center" vertical="center"/>
    </xf>
    <xf numFmtId="0" fontId="15" fillId="13" borderId="6" xfId="0" applyFont="1" applyFill="1" applyBorder="1" applyAlignment="1">
      <alignment horizontal="center" vertical="center"/>
    </xf>
    <xf numFmtId="0" fontId="15" fillId="13" borderId="7" xfId="0" applyFont="1" applyFill="1" applyBorder="1" applyAlignment="1">
      <alignment horizontal="center" vertical="center"/>
    </xf>
    <xf numFmtId="0" fontId="9" fillId="2" borderId="0"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3" fillId="0" borderId="2" xfId="0" applyFont="1" applyBorder="1" applyAlignment="1" applyProtection="1">
      <protection locked="0"/>
    </xf>
    <xf numFmtId="0" fontId="0" fillId="0" borderId="2" xfId="0" applyBorder="1" applyAlignment="1" applyProtection="1">
      <protection locked="0"/>
    </xf>
    <xf numFmtId="0" fontId="5" fillId="0" borderId="0" xfId="0" applyFont="1" applyBorder="1" applyAlignment="1">
      <alignment horizontal="center"/>
    </xf>
    <xf numFmtId="0" fontId="0" fillId="0" borderId="0" xfId="0" applyBorder="1" applyAlignment="1"/>
    <xf numFmtId="0" fontId="21" fillId="19" borderId="15" xfId="0" applyFont="1" applyFill="1" applyBorder="1" applyAlignment="1">
      <alignment horizontal="center" wrapText="1"/>
    </xf>
    <xf numFmtId="0" fontId="21" fillId="19" borderId="7" xfId="0" applyFont="1" applyFill="1" applyBorder="1" applyAlignment="1">
      <alignment horizontal="center" wrapText="1"/>
    </xf>
    <xf numFmtId="0" fontId="4" fillId="2" borderId="0" xfId="0" applyFont="1" applyFill="1" applyBorder="1" applyAlignment="1" applyProtection="1">
      <alignment horizontal="center"/>
    </xf>
    <xf numFmtId="0" fontId="0" fillId="0" borderId="12" xfId="0" applyBorder="1" applyAlignment="1"/>
    <xf numFmtId="0" fontId="0" fillId="0" borderId="11" xfId="0" applyBorder="1" applyAlignment="1"/>
    <xf numFmtId="0" fontId="0" fillId="0" borderId="15" xfId="0" applyBorder="1" applyAlignment="1" applyProtection="1">
      <alignment horizontal="left"/>
    </xf>
    <xf numFmtId="0" fontId="0" fillId="0" borderId="6" xfId="0" applyBorder="1" applyAlignment="1" applyProtection="1">
      <alignment horizontal="left"/>
    </xf>
    <xf numFmtId="0" fontId="0" fillId="0" borderId="7" xfId="0" applyBorder="1" applyAlignment="1" applyProtection="1">
      <alignment horizontal="left"/>
    </xf>
    <xf numFmtId="0" fontId="0" fillId="0" borderId="14" xfId="0" applyBorder="1" applyAlignment="1"/>
    <xf numFmtId="0" fontId="0" fillId="0" borderId="2" xfId="0" applyBorder="1" applyAlignment="1"/>
    <xf numFmtId="0" fontId="0" fillId="0" borderId="13" xfId="0" applyBorder="1" applyAlignment="1"/>
    <xf numFmtId="0" fontId="0" fillId="0" borderId="0" xfId="0" applyBorder="1" applyAlignment="1">
      <alignment horizontal="center"/>
    </xf>
    <xf numFmtId="0" fontId="0" fillId="0" borderId="8" xfId="0" applyNumberFormat="1" applyBorder="1" applyAlignment="1">
      <alignment horizontal="left" vertical="top" wrapText="1"/>
    </xf>
    <xf numFmtId="0" fontId="0" fillId="0" borderId="9" xfId="0" applyNumberFormat="1" applyBorder="1" applyAlignment="1">
      <alignment horizontal="left" vertical="top" wrapText="1"/>
    </xf>
    <xf numFmtId="0" fontId="0" fillId="0" borderId="10" xfId="0" applyNumberFormat="1" applyBorder="1" applyAlignment="1">
      <alignment horizontal="left" vertical="top" wrapText="1"/>
    </xf>
    <xf numFmtId="0" fontId="0" fillId="0" borderId="12" xfId="0" applyNumberFormat="1" applyBorder="1" applyAlignment="1">
      <alignment horizontal="left" vertical="top" wrapText="1"/>
    </xf>
    <xf numFmtId="0" fontId="0" fillId="0" borderId="0" xfId="0" applyNumberFormat="1" applyBorder="1" applyAlignment="1">
      <alignment horizontal="left" vertical="top" wrapText="1"/>
    </xf>
    <xf numFmtId="0" fontId="0" fillId="0" borderId="11" xfId="0" applyNumberFormat="1" applyBorder="1" applyAlignment="1">
      <alignment horizontal="left" vertical="top" wrapText="1"/>
    </xf>
    <xf numFmtId="0" fontId="0" fillId="0" borderId="14" xfId="0" applyNumberFormat="1" applyBorder="1" applyAlignment="1">
      <alignment horizontal="left" vertical="top" wrapText="1"/>
    </xf>
    <xf numFmtId="0" fontId="0" fillId="0" borderId="2" xfId="0" applyNumberFormat="1" applyBorder="1" applyAlignment="1">
      <alignment horizontal="left" vertical="top" wrapText="1"/>
    </xf>
    <xf numFmtId="0" fontId="0" fillId="0" borderId="13" xfId="0" applyNumberFormat="1" applyBorder="1" applyAlignment="1">
      <alignment horizontal="left" vertical="top" wrapText="1"/>
    </xf>
    <xf numFmtId="0" fontId="0" fillId="0" borderId="8" xfId="0" applyBorder="1" applyAlignment="1"/>
    <xf numFmtId="0" fontId="0" fillId="0" borderId="9" xfId="0" applyBorder="1" applyAlignment="1"/>
    <xf numFmtId="0" fontId="0" fillId="0" borderId="10" xfId="0" applyBorder="1" applyAlignment="1"/>
    <xf numFmtId="0" fontId="4" fillId="2" borderId="0" xfId="0" applyFont="1" applyFill="1" applyBorder="1" applyAlignment="1" applyProtection="1">
      <alignment horizontal="left"/>
      <protection locked="0"/>
    </xf>
    <xf numFmtId="0" fontId="0" fillId="0" borderId="0" xfId="0" applyFill="1" applyBorder="1" applyAlignment="1">
      <alignment horizontal="left"/>
    </xf>
    <xf numFmtId="0" fontId="9" fillId="2" borderId="0" xfId="0" applyFont="1" applyFill="1" applyBorder="1" applyAlignment="1"/>
    <xf numFmtId="0" fontId="12" fillId="0" borderId="0" xfId="0" applyFont="1" applyAlignment="1"/>
    <xf numFmtId="0" fontId="12" fillId="0" borderId="11" xfId="0" applyFont="1" applyBorder="1" applyAlignment="1"/>
    <xf numFmtId="0" fontId="0" fillId="0" borderId="0" xfId="0" applyFill="1" applyBorder="1" applyAlignment="1"/>
    <xf numFmtId="0" fontId="0" fillId="0" borderId="29" xfId="0" applyFont="1" applyBorder="1" applyAlignment="1"/>
    <xf numFmtId="0" fontId="0" fillId="0" borderId="29" xfId="0" applyFont="1" applyFill="1" applyBorder="1" applyAlignment="1"/>
    <xf numFmtId="0" fontId="0" fillId="0" borderId="0" xfId="0" applyFont="1" applyBorder="1" applyAlignment="1"/>
    <xf numFmtId="0" fontId="0" fillId="0" borderId="0" xfId="0" applyFont="1" applyFill="1" applyBorder="1" applyAlignment="1"/>
    <xf numFmtId="0" fontId="11" fillId="0" borderId="27" xfId="0" applyFont="1" applyBorder="1" applyAlignment="1">
      <alignment vertical="center"/>
    </xf>
    <xf numFmtId="0" fontId="0" fillId="0" borderId="27" xfId="0" applyBorder="1" applyAlignment="1">
      <alignment vertical="center"/>
    </xf>
    <xf numFmtId="0" fontId="0" fillId="0" borderId="29" xfId="0" applyFill="1" applyBorder="1" applyAlignment="1"/>
    <xf numFmtId="0" fontId="0" fillId="0" borderId="29" xfId="0" applyBorder="1" applyAlignment="1"/>
    <xf numFmtId="0" fontId="0" fillId="0" borderId="29" xfId="0" applyFill="1" applyBorder="1" applyAlignment="1">
      <alignment horizontal="center"/>
    </xf>
    <xf numFmtId="0" fontId="3" fillId="0" borderId="16" xfId="0" applyFont="1" applyBorder="1" applyAlignment="1">
      <alignment horizontal="center"/>
    </xf>
    <xf numFmtId="0" fontId="3" fillId="0" borderId="17" xfId="0" applyFont="1" applyBorder="1" applyAlignment="1">
      <alignment horizontal="center"/>
    </xf>
    <xf numFmtId="0" fontId="3" fillId="0" borderId="18" xfId="0" applyFont="1" applyBorder="1" applyAlignment="1">
      <alignment horizontal="center"/>
    </xf>
    <xf numFmtId="0" fontId="0" fillId="0" borderId="0" xfId="0" applyAlignment="1" applyProtection="1">
      <alignment horizontal="center" vertical="center"/>
      <protection locked="0"/>
    </xf>
    <xf numFmtId="0" fontId="0" fillId="0" borderId="0" xfId="0" applyAlignment="1" applyProtection="1">
      <alignment horizontal="center" vertical="center" textRotation="90"/>
      <protection locked="0"/>
    </xf>
    <xf numFmtId="0" fontId="0" fillId="0" borderId="0" xfId="0" applyAlignment="1" applyProtection="1">
      <alignment horizontal="center" vertical="center" textRotation="180"/>
      <protection locked="0"/>
    </xf>
    <xf numFmtId="0" fontId="0" fillId="11" borderId="0" xfId="0" applyFill="1" applyAlignment="1" applyProtection="1">
      <alignment horizontal="center" vertical="center"/>
      <protection locked="0"/>
    </xf>
    <xf numFmtId="0" fontId="0" fillId="11" borderId="0" xfId="0" applyFill="1" applyAlignment="1" applyProtection="1">
      <alignment horizontal="center" vertical="center" textRotation="90"/>
      <protection locked="0"/>
    </xf>
    <xf numFmtId="0" fontId="0" fillId="11" borderId="0" xfId="0" applyFill="1" applyAlignment="1" applyProtection="1">
      <alignment horizontal="center" vertical="center" textRotation="180"/>
      <protection locked="0"/>
    </xf>
    <xf numFmtId="0" fontId="4" fillId="2" borderId="0" xfId="0" applyFont="1" applyFill="1" applyBorder="1" applyAlignment="1"/>
    <xf numFmtId="0" fontId="0" fillId="0" borderId="15" xfId="0" applyBorder="1" applyAlignment="1" applyProtection="1">
      <alignment horizontal="left"/>
      <protection locked="0"/>
    </xf>
    <xf numFmtId="0" fontId="0" fillId="0" borderId="6" xfId="0" applyBorder="1" applyAlignment="1" applyProtection="1">
      <alignment horizontal="left"/>
      <protection locked="0"/>
    </xf>
    <xf numFmtId="0" fontId="0" fillId="0" borderId="7" xfId="0" applyBorder="1" applyAlignment="1" applyProtection="1">
      <alignment horizontal="left"/>
      <protection locked="0"/>
    </xf>
    <xf numFmtId="0" fontId="0" fillId="0" borderId="0" xfId="0" applyAlignment="1"/>
    <xf numFmtId="0" fontId="0" fillId="0" borderId="8" xfId="0" applyBorder="1" applyAlignment="1" applyProtection="1">
      <alignment vertical="top" wrapText="1"/>
      <protection locked="0"/>
    </xf>
    <xf numFmtId="0" fontId="0" fillId="0" borderId="9" xfId="0" applyBorder="1" applyAlignment="1" applyProtection="1">
      <alignment vertical="top" wrapText="1"/>
      <protection locked="0"/>
    </xf>
    <xf numFmtId="0" fontId="0" fillId="0" borderId="10" xfId="0" applyBorder="1" applyAlignment="1" applyProtection="1">
      <alignment vertical="top" wrapText="1"/>
      <protection locked="0"/>
    </xf>
    <xf numFmtId="0" fontId="0" fillId="0" borderId="12"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11" xfId="0" applyBorder="1" applyAlignment="1" applyProtection="1">
      <alignment vertical="top" wrapText="1"/>
      <protection locked="0"/>
    </xf>
    <xf numFmtId="0" fontId="0" fillId="0" borderId="14"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13" xfId="0" applyBorder="1" applyAlignment="1" applyProtection="1">
      <alignment vertical="top" wrapText="1"/>
      <protection locked="0"/>
    </xf>
    <xf numFmtId="49" fontId="0" fillId="0" borderId="15" xfId="0" applyNumberFormat="1" applyFill="1" applyBorder="1" applyAlignment="1" applyProtection="1">
      <alignment horizontal="left"/>
      <protection locked="0"/>
    </xf>
    <xf numFmtId="49" fontId="0" fillId="0" borderId="6" xfId="0" applyNumberFormat="1" applyFont="1" applyBorder="1" applyAlignment="1" applyProtection="1">
      <alignment horizontal="left"/>
      <protection locked="0"/>
    </xf>
    <xf numFmtId="49" fontId="0" fillId="0" borderId="7" xfId="0" applyNumberFormat="1" applyFont="1" applyBorder="1" applyAlignment="1" applyProtection="1">
      <alignment horizontal="left"/>
      <protection locked="0"/>
    </xf>
    <xf numFmtId="49" fontId="0" fillId="0" borderId="15" xfId="0" applyNumberFormat="1" applyFont="1" applyFill="1" applyBorder="1" applyAlignment="1" applyProtection="1">
      <alignment horizontal="left"/>
      <protection locked="0"/>
    </xf>
    <xf numFmtId="49" fontId="0" fillId="0" borderId="6" xfId="0" applyNumberFormat="1" applyFont="1" applyFill="1" applyBorder="1" applyAlignment="1" applyProtection="1">
      <alignment horizontal="left"/>
      <protection locked="0"/>
    </xf>
    <xf numFmtId="49" fontId="0" fillId="0" borderId="7" xfId="0" applyNumberFormat="1" applyFont="1" applyFill="1" applyBorder="1" applyAlignment="1" applyProtection="1">
      <alignment horizontal="left"/>
      <protection locked="0"/>
    </xf>
    <xf numFmtId="49" fontId="0" fillId="0" borderId="6" xfId="0" applyNumberFormat="1" applyFill="1" applyBorder="1" applyAlignment="1" applyProtection="1">
      <alignment horizontal="left"/>
      <protection locked="0"/>
    </xf>
    <xf numFmtId="49" fontId="0" fillId="0" borderId="7" xfId="0" applyNumberFormat="1" applyFill="1" applyBorder="1" applyAlignment="1" applyProtection="1">
      <alignment horizontal="left"/>
      <protection locked="0"/>
    </xf>
    <xf numFmtId="0" fontId="0" fillId="4" borderId="15" xfId="0" applyNumberFormat="1" applyFill="1" applyBorder="1" applyAlignment="1" applyProtection="1">
      <alignment horizontal="left" vertical="top"/>
      <protection locked="0"/>
    </xf>
    <xf numFmtId="0" fontId="0" fillId="4" borderId="6" xfId="0" applyNumberFormat="1" applyFill="1" applyBorder="1" applyAlignment="1" applyProtection="1">
      <alignment horizontal="left" vertical="top"/>
      <protection locked="0"/>
    </xf>
    <xf numFmtId="0" fontId="0" fillId="4" borderId="7" xfId="0" applyNumberFormat="1" applyFill="1" applyBorder="1" applyAlignment="1" applyProtection="1">
      <alignment horizontal="left" vertical="top"/>
      <protection locked="0"/>
    </xf>
    <xf numFmtId="0" fontId="4" fillId="2" borderId="0" xfId="0" applyFont="1" applyFill="1" applyBorder="1" applyAlignment="1" applyProtection="1">
      <alignment horizontal="left"/>
    </xf>
    <xf numFmtId="0" fontId="0" fillId="0" borderId="0" xfId="0" applyBorder="1" applyAlignment="1" applyProtection="1"/>
    <xf numFmtId="0" fontId="0" fillId="0" borderId="15" xfId="0" applyNumberFormat="1" applyBorder="1" applyAlignment="1" applyProtection="1">
      <alignment horizontal="left" vertical="top"/>
      <protection locked="0"/>
    </xf>
    <xf numFmtId="0" fontId="0" fillId="0" borderId="6" xfId="0" applyNumberFormat="1" applyBorder="1" applyAlignment="1" applyProtection="1">
      <alignment horizontal="left" vertical="top"/>
      <protection locked="0"/>
    </xf>
    <xf numFmtId="0" fontId="0" fillId="0" borderId="7" xfId="0" applyNumberFormat="1" applyBorder="1" applyAlignment="1" applyProtection="1">
      <alignment horizontal="left" vertical="top"/>
      <protection locked="0"/>
    </xf>
    <xf numFmtId="0" fontId="0" fillId="0" borderId="8" xfId="0" applyNumberFormat="1" applyBorder="1" applyAlignment="1" applyProtection="1">
      <alignment horizontal="left" vertical="top" wrapText="1"/>
      <protection locked="0"/>
    </xf>
    <xf numFmtId="0" fontId="0" fillId="0" borderId="9" xfId="0" applyNumberFormat="1" applyBorder="1" applyAlignment="1" applyProtection="1">
      <alignment horizontal="left" vertical="top" wrapText="1"/>
      <protection locked="0"/>
    </xf>
    <xf numFmtId="0" fontId="0" fillId="0" borderId="10" xfId="0" applyNumberFormat="1"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4" fillId="2" borderId="0" xfId="0" applyFont="1" applyFill="1" applyBorder="1" applyAlignment="1" applyProtection="1"/>
    <xf numFmtId="0" fontId="0" fillId="0" borderId="0" xfId="0" applyAlignment="1" applyProtection="1"/>
    <xf numFmtId="0" fontId="4" fillId="2" borderId="12" xfId="0" applyFont="1" applyFill="1" applyBorder="1" applyAlignment="1" applyProtection="1"/>
    <xf numFmtId="0" fontId="0" fillId="0" borderId="11" xfId="0" applyFill="1" applyBorder="1" applyAlignment="1" applyProtection="1"/>
    <xf numFmtId="0" fontId="0" fillId="0" borderId="11" xfId="0" applyBorder="1" applyAlignment="1" applyProtection="1"/>
    <xf numFmtId="0" fontId="0" fillId="0" borderId="13" xfId="0" applyBorder="1" applyAlignment="1" applyProtection="1"/>
    <xf numFmtId="0" fontId="0" fillId="0" borderId="8" xfId="0" applyBorder="1" applyAlignment="1" applyProtection="1"/>
    <xf numFmtId="0" fontId="0" fillId="0" borderId="9" xfId="0" applyBorder="1" applyAlignment="1" applyProtection="1"/>
    <xf numFmtId="0" fontId="0" fillId="0" borderId="10" xfId="0" applyBorder="1" applyAlignment="1" applyProtection="1"/>
    <xf numFmtId="0" fontId="0" fillId="0" borderId="14" xfId="0" applyBorder="1" applyAlignment="1" applyProtection="1"/>
    <xf numFmtId="0" fontId="0" fillId="0" borderId="2" xfId="0" applyBorder="1" applyAlignment="1" applyProtection="1"/>
    <xf numFmtId="0" fontId="0" fillId="0" borderId="15" xfId="0" applyBorder="1" applyAlignment="1" applyProtection="1">
      <alignment horizontal="center"/>
      <protection locked="0"/>
    </xf>
    <xf numFmtId="0" fontId="0" fillId="0" borderId="6" xfId="0" applyBorder="1" applyAlignment="1" applyProtection="1">
      <alignment horizontal="center"/>
      <protection locked="0"/>
    </xf>
    <xf numFmtId="0" fontId="0" fillId="0" borderId="7" xfId="0" applyBorder="1" applyAlignment="1" applyProtection="1">
      <alignment horizontal="center"/>
      <protection locked="0"/>
    </xf>
  </cellXfs>
  <cellStyles count="2">
    <cellStyle name="Comma" xfId="1" builtinId="3"/>
    <cellStyle name="Normal" xfId="0" builtinId="0"/>
  </cellStyles>
  <dxfs count="5590">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rgb="FFCC9900"/>
        </patternFill>
      </fill>
    </dxf>
    <dxf>
      <fill>
        <patternFill>
          <bgColor theme="3" tint="0.59996337778862885"/>
        </patternFill>
      </fill>
    </dxf>
    <dxf>
      <fill>
        <patternFill>
          <bgColor rgb="FFCC9900"/>
        </patternFill>
      </fill>
    </dxf>
    <dxf>
      <fill>
        <patternFill>
          <bgColor rgb="FFCC99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CC99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3" tint="0.39994506668294322"/>
        </patternFill>
      </fill>
    </dxf>
    <dxf>
      <fill>
        <patternFill>
          <bgColor rgb="FFFFFF00"/>
        </patternFill>
      </fill>
    </dxf>
    <dxf>
      <fill>
        <patternFill>
          <bgColor theme="6" tint="0.39994506668294322"/>
        </patternFill>
      </fill>
    </dxf>
    <dxf>
      <fill>
        <patternFill>
          <bgColor rgb="FFCC9900"/>
        </patternFill>
      </fill>
    </dxf>
    <dxf>
      <fill>
        <patternFill>
          <bgColor rgb="FFCC9900"/>
        </patternFill>
      </fill>
    </dxf>
    <dxf>
      <fill>
        <patternFill>
          <bgColor theme="4"/>
        </patternFill>
      </fill>
    </dxf>
    <dxf>
      <fill>
        <patternFill>
          <bgColor rgb="FFFFFF00"/>
        </patternFill>
      </fill>
    </dxf>
    <dxf>
      <fill>
        <patternFill>
          <bgColor theme="6" tint="0.39994506668294322"/>
        </patternFill>
      </fill>
    </dxf>
    <dxf>
      <font>
        <b/>
        <i val="0"/>
        <color theme="0"/>
      </font>
      <fill>
        <patternFill>
          <bgColor theme="7" tint="-0.24994659260841701"/>
        </patternFill>
      </fill>
    </dxf>
    <dxf>
      <font>
        <b/>
        <i val="0"/>
        <color theme="0"/>
      </font>
      <fill>
        <patternFill>
          <bgColor theme="3" tint="0.39994506668294322"/>
        </patternFill>
      </fill>
    </dxf>
    <dxf>
      <font>
        <b/>
        <i val="0"/>
        <color theme="0"/>
      </font>
      <fill>
        <patternFill>
          <bgColor theme="2" tint="-0.499984740745262"/>
        </patternFill>
      </fill>
    </dxf>
    <dxf>
      <font>
        <b/>
        <i val="0"/>
        <color theme="0"/>
      </font>
      <fill>
        <patternFill>
          <bgColor theme="7" tint="-0.24994659260841701"/>
        </patternFill>
      </fill>
    </dxf>
    <dxf>
      <font>
        <b/>
        <i val="0"/>
        <color theme="0"/>
      </font>
      <fill>
        <patternFill>
          <bgColor theme="3" tint="0.39994506668294322"/>
        </patternFill>
      </fill>
    </dxf>
    <dxf>
      <font>
        <b/>
        <i val="0"/>
        <color theme="0"/>
      </font>
      <fill>
        <patternFill>
          <bgColor theme="2" tint="-0.499984740745262"/>
        </patternFill>
      </fill>
    </dxf>
    <dxf>
      <font>
        <b/>
        <i val="0"/>
        <color theme="0"/>
      </font>
      <fill>
        <patternFill>
          <bgColor theme="7" tint="-0.24994659260841701"/>
        </patternFill>
      </fill>
    </dxf>
    <dxf>
      <font>
        <b/>
        <i val="0"/>
        <color theme="0"/>
      </font>
      <fill>
        <patternFill>
          <bgColor theme="3" tint="0.39994506668294322"/>
        </patternFill>
      </fill>
    </dxf>
    <dxf>
      <font>
        <b/>
        <i val="0"/>
        <color theme="0"/>
      </font>
      <fill>
        <patternFill>
          <bgColor theme="2" tint="-0.499984740745262"/>
        </patternFill>
      </fill>
    </dxf>
    <dxf>
      <font>
        <b/>
        <i val="0"/>
        <color theme="0"/>
      </font>
      <fill>
        <patternFill>
          <bgColor theme="7" tint="-0.24994659260841701"/>
        </patternFill>
      </fill>
    </dxf>
    <dxf>
      <font>
        <b/>
        <i val="0"/>
        <color theme="0"/>
      </font>
      <fill>
        <patternFill>
          <bgColor theme="3" tint="0.39994506668294322"/>
        </patternFill>
      </fill>
    </dxf>
    <dxf>
      <font>
        <b/>
        <i val="0"/>
        <color theme="0"/>
      </font>
      <fill>
        <patternFill>
          <bgColor theme="2" tint="-0.499984740745262"/>
        </patternFill>
      </fill>
    </dxf>
    <dxf>
      <font>
        <b/>
        <i val="0"/>
        <color theme="0"/>
      </font>
      <fill>
        <patternFill>
          <bgColor theme="7" tint="-0.24994659260841701"/>
        </patternFill>
      </fill>
    </dxf>
    <dxf>
      <font>
        <b/>
        <i val="0"/>
        <color theme="0"/>
      </font>
      <fill>
        <patternFill>
          <bgColor theme="3" tint="0.39994506668294322"/>
        </patternFill>
      </fill>
    </dxf>
    <dxf>
      <font>
        <b/>
        <i val="0"/>
        <color theme="0"/>
      </font>
      <fill>
        <patternFill>
          <bgColor theme="2" tint="-0.499984740745262"/>
        </patternFill>
      </fill>
    </dxf>
    <dxf>
      <font>
        <b/>
        <i val="0"/>
        <color theme="0"/>
      </font>
      <fill>
        <patternFill>
          <bgColor theme="7" tint="-0.24994659260841701"/>
        </patternFill>
      </fill>
    </dxf>
    <dxf>
      <font>
        <b/>
        <i val="0"/>
        <color theme="0"/>
      </font>
      <fill>
        <patternFill>
          <bgColor theme="3" tint="0.39994506668294322"/>
        </patternFill>
      </fill>
    </dxf>
    <dxf>
      <font>
        <b/>
        <i val="0"/>
        <color theme="0"/>
      </font>
      <fill>
        <patternFill>
          <bgColor theme="2" tint="-0.499984740745262"/>
        </patternFill>
      </fill>
    </dxf>
    <dxf>
      <font>
        <b/>
        <i val="0"/>
        <color theme="0"/>
      </font>
      <fill>
        <patternFill>
          <bgColor theme="7" tint="-0.24994659260841701"/>
        </patternFill>
      </fill>
    </dxf>
    <dxf>
      <font>
        <b/>
        <i val="0"/>
        <color theme="0"/>
      </font>
      <fill>
        <patternFill>
          <bgColor theme="3" tint="0.39994506668294322"/>
        </patternFill>
      </fill>
    </dxf>
    <dxf>
      <font>
        <b/>
        <i val="0"/>
        <color theme="0"/>
      </font>
      <fill>
        <patternFill>
          <bgColor theme="2" tint="-0.499984740745262"/>
        </patternFill>
      </fill>
    </dxf>
    <dxf>
      <fill>
        <patternFill>
          <bgColor rgb="FF92D050"/>
        </patternFill>
      </fill>
    </dxf>
    <dxf>
      <fill>
        <patternFill>
          <bgColor rgb="FFDA4A10"/>
        </patternFill>
      </fill>
    </dxf>
    <dxf>
      <fill>
        <patternFill>
          <bgColor rgb="FFFFFF00"/>
        </patternFill>
      </fill>
    </dxf>
    <dxf>
      <fill>
        <patternFill>
          <bgColor rgb="FF92D050"/>
        </patternFill>
      </fill>
    </dxf>
    <dxf>
      <fill>
        <patternFill>
          <bgColor rgb="FFFFFF00"/>
        </patternFill>
      </fill>
    </dxf>
    <dxf>
      <fill>
        <patternFill>
          <bgColor rgb="FFDA4A10"/>
        </patternFill>
      </fill>
    </dxf>
    <dxf>
      <fill>
        <patternFill>
          <bgColor theme="9" tint="0.59996337778862885"/>
        </patternFill>
      </fill>
    </dxf>
    <dxf>
      <fill>
        <patternFill>
          <bgColor theme="9" tint="0.59996337778862885"/>
        </patternFill>
      </fill>
    </dxf>
    <dxf>
      <fill>
        <patternFill>
          <bgColor theme="1"/>
        </patternFill>
      </fill>
    </dxf>
    <dxf>
      <fill>
        <patternFill>
          <bgColor theme="1"/>
        </patternFill>
      </fill>
    </dxf>
    <dxf>
      <fill>
        <patternFill>
          <bgColor theme="1"/>
        </patternFill>
      </fill>
    </dxf>
  </dxfs>
  <tableStyles count="0" defaultTableStyle="TableStyleMedium9" defaultPivotStyle="PivotStyleLight16"/>
  <colors>
    <mruColors>
      <color rgb="FFCC9900"/>
      <color rgb="FFFFFF00"/>
      <color rgb="FFFFFFCC"/>
      <color rgb="FFDA4A10"/>
      <color rgb="FFFBCBA3"/>
      <color rgb="FFFF9966"/>
      <color rgb="FFFF0000"/>
      <color rgb="FFFF6699"/>
      <color rgb="FFFFFFE5"/>
      <color rgb="FFFFFFE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Y141"/>
  <sheetViews>
    <sheetView showZeros="0" tabSelected="1" zoomScaleNormal="100" workbookViewId="0">
      <selection activeCell="R24" sqref="R24"/>
    </sheetView>
  </sheetViews>
  <sheetFormatPr defaultRowHeight="15" x14ac:dyDescent="0.25"/>
  <cols>
    <col min="1" max="1" width="0.85546875" customWidth="1"/>
    <col min="2" max="2" width="16.7109375" customWidth="1"/>
    <col min="3" max="3" width="1.7109375" style="1" customWidth="1"/>
    <col min="4" max="4" width="11.7109375" customWidth="1"/>
    <col min="5" max="5" width="1.7109375" customWidth="1"/>
    <col min="6" max="6" width="11.7109375" customWidth="1"/>
    <col min="7" max="7" width="1.7109375" customWidth="1"/>
    <col min="8" max="8" width="11.7109375" customWidth="1"/>
    <col min="9" max="9" width="1.7109375" customWidth="1"/>
    <col min="10" max="10" width="11.7109375" customWidth="1"/>
    <col min="11" max="11" width="1.7109375" customWidth="1"/>
    <col min="12" max="12" width="11.7109375" customWidth="1"/>
    <col min="13" max="13" width="1.7109375" customWidth="1"/>
    <col min="14" max="14" width="11.7109375" customWidth="1"/>
    <col min="15" max="15" width="1.7109375" customWidth="1"/>
    <col min="16" max="16" width="11.7109375" customWidth="1"/>
    <col min="17" max="17" width="1.7109375" customWidth="1"/>
    <col min="18" max="18" width="11.7109375" customWidth="1"/>
    <col min="19" max="19" width="1.7109375" customWidth="1"/>
    <col min="20" max="20" width="11.7109375" customWidth="1"/>
    <col min="21" max="21" width="1.7109375" customWidth="1"/>
    <col min="22" max="22" width="11.7109375" customWidth="1"/>
    <col min="23" max="23" width="0.85546875" customWidth="1"/>
    <col min="24" max="24" width="10.42578125" customWidth="1"/>
    <col min="25" max="25" width="0.85546875" customWidth="1"/>
  </cols>
  <sheetData>
    <row r="1" spans="1:25" ht="5.0999999999999996" customHeight="1" x14ac:dyDescent="0.25">
      <c r="A1" s="12"/>
      <c r="B1" s="14"/>
      <c r="C1" s="13"/>
      <c r="D1" s="14"/>
      <c r="E1" s="14"/>
      <c r="F1" s="14"/>
      <c r="G1" s="14"/>
      <c r="H1" s="14"/>
      <c r="I1" s="14"/>
      <c r="J1" s="14"/>
      <c r="K1" s="14"/>
      <c r="L1" s="14"/>
      <c r="M1" s="14"/>
      <c r="N1" s="14"/>
      <c r="O1" s="14"/>
      <c r="P1" s="14"/>
      <c r="Q1" s="14"/>
      <c r="R1" s="14"/>
      <c r="S1" s="14"/>
      <c r="T1" s="14"/>
      <c r="U1" s="14"/>
      <c r="V1" s="14"/>
      <c r="W1" s="14"/>
      <c r="X1" s="14"/>
      <c r="Y1" s="15"/>
    </row>
    <row r="2" spans="1:25" ht="15.75" thickBot="1" x14ac:dyDescent="0.3">
      <c r="A2" s="19"/>
      <c r="B2" s="35" t="s">
        <v>47</v>
      </c>
      <c r="C2" s="16"/>
      <c r="D2" s="402" t="s">
        <v>1675</v>
      </c>
      <c r="E2" s="402"/>
      <c r="F2" s="402"/>
      <c r="G2" s="402"/>
      <c r="H2" s="402"/>
      <c r="I2" s="402"/>
      <c r="J2" s="402"/>
      <c r="K2" s="402"/>
      <c r="L2" s="402"/>
      <c r="M2" s="5"/>
      <c r="N2" s="35" t="s">
        <v>44</v>
      </c>
      <c r="O2" s="17"/>
      <c r="P2" s="402" t="s">
        <v>1673</v>
      </c>
      <c r="Q2" s="403"/>
      <c r="R2" s="403"/>
      <c r="S2" s="403"/>
      <c r="T2" s="403"/>
      <c r="U2" s="403"/>
      <c r="V2" s="403"/>
      <c r="W2" s="5"/>
      <c r="X2" s="400" t="s">
        <v>1619</v>
      </c>
      <c r="Y2" s="18"/>
    </row>
    <row r="3" spans="1:25" ht="3" customHeight="1" thickBot="1" x14ac:dyDescent="0.3">
      <c r="A3" s="19"/>
      <c r="B3" s="35"/>
      <c r="C3" s="16"/>
      <c r="D3" s="5"/>
      <c r="E3" s="5"/>
      <c r="F3" s="5"/>
      <c r="G3" s="5"/>
      <c r="H3" s="5"/>
      <c r="I3" s="5"/>
      <c r="J3" s="5"/>
      <c r="K3" s="5"/>
      <c r="L3" s="5"/>
      <c r="M3" s="5"/>
      <c r="N3" s="17"/>
      <c r="O3" s="17"/>
      <c r="P3" s="17"/>
      <c r="Q3" s="17"/>
      <c r="R3" s="17"/>
      <c r="S3" s="5"/>
      <c r="T3" s="5"/>
      <c r="U3" s="5"/>
      <c r="V3" s="5"/>
      <c r="W3" s="5"/>
      <c r="X3" s="400"/>
      <c r="Y3" s="18"/>
    </row>
    <row r="4" spans="1:25" ht="15.75" thickBot="1" x14ac:dyDescent="0.3">
      <c r="A4" s="19"/>
      <c r="B4" s="35" t="s">
        <v>48</v>
      </c>
      <c r="C4" s="16"/>
      <c r="D4" s="249" t="s">
        <v>106</v>
      </c>
      <c r="E4" s="240"/>
      <c r="F4" s="249" t="s">
        <v>108</v>
      </c>
      <c r="G4" s="5"/>
      <c r="H4" s="216" t="s">
        <v>43</v>
      </c>
      <c r="I4" s="5"/>
      <c r="J4" s="46">
        <f>Kingdom!D2</f>
        <v>8</v>
      </c>
      <c r="K4" s="5"/>
      <c r="L4" s="5"/>
      <c r="M4" s="5"/>
      <c r="N4" s="236" t="s">
        <v>45</v>
      </c>
      <c r="O4" s="17"/>
      <c r="P4" s="222">
        <f>20+J4</f>
        <v>28</v>
      </c>
      <c r="Q4" s="17"/>
      <c r="R4" s="35" t="s">
        <v>46</v>
      </c>
      <c r="S4" s="5"/>
      <c r="T4" s="394">
        <f>(250*J4)+'City 1'!$T$6+'City 2'!$T$6+'City 3'!$T$6+'City 4'!$T$6+'City 5'!$T$6+'City 6'!$T$6+'City 7'!$T$6+'City 8'!$T$6+'City 9'!$T$6+'City 10'!$T$6+'City 11'!$T$6+'City 12'!$T$6+'City 13'!$T$6+'City 14'!$T$6+'City 15'!$T$6+'City 16'!$T$6+'City 17'!$T$6+'City 18'!$T$6+'City 19'!$T$6+'City 20'!$T$6+'City 21'!$T$6+'City 22'!$T$6+'City 23'!$T$6+'City 24'!$T$6+'City 25'!$T$6</f>
        <v>5500</v>
      </c>
      <c r="U4" s="395"/>
      <c r="V4" s="396"/>
      <c r="W4" s="5"/>
      <c r="X4" s="401"/>
      <c r="Y4" s="18"/>
    </row>
    <row r="5" spans="1:25" ht="3" customHeight="1" thickBot="1" x14ac:dyDescent="0.3">
      <c r="A5" s="19"/>
      <c r="B5" s="17"/>
      <c r="C5" s="16"/>
      <c r="D5" s="5"/>
      <c r="E5" s="5"/>
      <c r="F5" s="5"/>
      <c r="G5" s="5"/>
      <c r="H5" s="5"/>
      <c r="I5" s="5"/>
      <c r="J5" s="5"/>
      <c r="K5" s="5"/>
      <c r="L5" s="5"/>
      <c r="M5" s="5"/>
      <c r="N5" s="5"/>
      <c r="O5" s="5"/>
      <c r="P5" s="5"/>
      <c r="Q5" s="5"/>
      <c r="R5" s="5"/>
      <c r="S5" s="5"/>
      <c r="T5" s="5"/>
      <c r="U5" s="5"/>
      <c r="V5" s="5"/>
      <c r="W5" s="5"/>
      <c r="X5" s="5"/>
      <c r="Y5" s="18"/>
    </row>
    <row r="6" spans="1:25" ht="15" customHeight="1" thickBot="1" x14ac:dyDescent="0.3">
      <c r="A6" s="19"/>
      <c r="B6" s="5"/>
      <c r="C6" s="11"/>
      <c r="D6" s="216" t="s">
        <v>52</v>
      </c>
      <c r="E6" s="216"/>
      <c r="F6" s="216" t="s">
        <v>61</v>
      </c>
      <c r="G6" s="216"/>
      <c r="H6" s="216" t="s">
        <v>53</v>
      </c>
      <c r="I6" s="216"/>
      <c r="J6" s="216" t="s">
        <v>54</v>
      </c>
      <c r="K6" s="216"/>
      <c r="L6" s="216" t="s">
        <v>55</v>
      </c>
      <c r="M6" s="216"/>
      <c r="N6" s="216" t="s">
        <v>56</v>
      </c>
      <c r="O6" s="216"/>
      <c r="P6" s="216" t="s">
        <v>48</v>
      </c>
      <c r="Q6" s="216"/>
      <c r="R6" s="216" t="s">
        <v>57</v>
      </c>
      <c r="S6" s="216"/>
      <c r="T6" s="216" t="s">
        <v>157</v>
      </c>
      <c r="U6" s="216"/>
      <c r="V6" s="216" t="s">
        <v>58</v>
      </c>
      <c r="W6" s="5"/>
      <c r="X6" s="315">
        <f>4712+X12</f>
        <v>4713.01</v>
      </c>
      <c r="Y6" s="18"/>
    </row>
    <row r="7" spans="1:25" ht="3" customHeight="1" thickBot="1" x14ac:dyDescent="0.3">
      <c r="A7" s="19"/>
      <c r="B7" s="5"/>
      <c r="C7" s="11"/>
      <c r="D7" s="218"/>
      <c r="E7" s="218"/>
      <c r="F7" s="218"/>
      <c r="G7" s="218"/>
      <c r="H7" s="218"/>
      <c r="I7" s="218"/>
      <c r="J7" s="218"/>
      <c r="K7" s="218"/>
      <c r="L7" s="218"/>
      <c r="M7" s="218"/>
      <c r="N7" s="218"/>
      <c r="O7" s="218"/>
      <c r="P7" s="218"/>
      <c r="Q7" s="218"/>
      <c r="R7" s="218"/>
      <c r="S7" s="218"/>
      <c r="T7" s="3"/>
      <c r="U7" s="218"/>
      <c r="V7" s="218"/>
      <c r="W7" s="5"/>
      <c r="X7" s="5"/>
      <c r="Y7" s="18"/>
    </row>
    <row r="8" spans="1:25" ht="15" customHeight="1" thickBot="1" x14ac:dyDescent="0.3">
      <c r="A8" s="19"/>
      <c r="B8" s="237" t="s">
        <v>49</v>
      </c>
      <c r="C8" s="20"/>
      <c r="D8" s="223">
        <f>F8+H8+J8+L8+N8+P8+R8+T8+V8</f>
        <v>45</v>
      </c>
      <c r="E8" s="218" t="s">
        <v>59</v>
      </c>
      <c r="F8" s="46">
        <f>'City 1'!D4+'City 2'!D4+'City 3'!D4+'City 4'!D4+'City 5'!D4+'City 6'!D4+'City 7'!D4+'City 8'!D4+'City 9'!D4+'City 10'!D4+'City 11'!D4+'City 12'!D4+'City 13'!D4+'City 14'!D4+'City 15'!D4+'City 16'!D4+'City 17'!D4+'City 18'!D4+'City 19'!D4+'City 20'!D4+'City 21'!D4+'City 22'!D4+'City 23'!D4+'City 24'!D4+'City 25'!D4</f>
        <v>7</v>
      </c>
      <c r="G8" s="218" t="s">
        <v>60</v>
      </c>
      <c r="H8" s="46">
        <f>R38</f>
        <v>2</v>
      </c>
      <c r="I8" s="218" t="s">
        <v>60</v>
      </c>
      <c r="J8" s="46">
        <f>IF(COUNTIF(T18:V24,"Outstanding Success")&gt;0,4,0)</f>
        <v>0</v>
      </c>
      <c r="K8" s="218" t="s">
        <v>60</v>
      </c>
      <c r="L8" s="46">
        <f>IF(J36=B8,H36,0)+(IF(J18=B8,H18,0)+IF(L18=B8,H18,0)+IF(N18=B8,H18,0))+(IF(J20=B8,H20,0)+IF(L20=B8,H20,0)+IF(N20=B8,H20,0))+H30+H32+H38</f>
        <v>25</v>
      </c>
      <c r="M8" s="218" t="s">
        <v>60</v>
      </c>
      <c r="N8" s="46">
        <f>Kingdom!D4</f>
        <v>8</v>
      </c>
      <c r="O8" s="218" t="s">
        <v>60</v>
      </c>
      <c r="P8" s="46">
        <f>IF(D4="Lawful",2,0)+IF(F4="Evil",2,0)</f>
        <v>2</v>
      </c>
      <c r="Q8" s="218" t="s">
        <v>60</v>
      </c>
      <c r="R8" s="46">
        <f>$R$24*-1</f>
        <v>0</v>
      </c>
      <c r="S8" s="218" t="s">
        <v>60</v>
      </c>
      <c r="T8" s="46">
        <f>IF(D30=0,-4,0)+IF(D32=0,-4,0)+IF(D36=0,-4,0)+IF(D38=0,-4-R38,0)</f>
        <v>0</v>
      </c>
      <c r="U8" s="218" t="s">
        <v>60</v>
      </c>
      <c r="V8" s="59">
        <v>1</v>
      </c>
      <c r="W8" s="5"/>
      <c r="X8" s="400" t="s">
        <v>1618</v>
      </c>
      <c r="Y8" s="18"/>
    </row>
    <row r="9" spans="1:25" s="1" customFormat="1" ht="3" customHeight="1" thickBot="1" x14ac:dyDescent="0.3">
      <c r="A9" s="33"/>
      <c r="B9" s="30"/>
      <c r="C9" s="20"/>
      <c r="D9" s="21"/>
      <c r="E9" s="21"/>
      <c r="F9" s="21"/>
      <c r="G9" s="21"/>
      <c r="H9" s="21"/>
      <c r="I9" s="21"/>
      <c r="J9" s="21"/>
      <c r="K9" s="218" t="s">
        <v>60</v>
      </c>
      <c r="L9" s="21"/>
      <c r="M9" s="218"/>
      <c r="N9" s="21"/>
      <c r="O9" s="218"/>
      <c r="P9" s="21"/>
      <c r="Q9" s="218"/>
      <c r="R9" s="81"/>
      <c r="S9" s="21"/>
      <c r="T9" s="21"/>
      <c r="U9" s="21"/>
      <c r="V9" s="21"/>
      <c r="W9" s="11"/>
      <c r="X9" s="400"/>
      <c r="Y9" s="22"/>
    </row>
    <row r="10" spans="1:25" ht="15" customHeight="1" thickBot="1" x14ac:dyDescent="0.3">
      <c r="A10" s="19"/>
      <c r="B10" s="238" t="s">
        <v>50</v>
      </c>
      <c r="C10" s="20"/>
      <c r="D10" s="225">
        <f>F10+H10+J10+L10+N10+P10+R10+T10+V10</f>
        <v>18</v>
      </c>
      <c r="E10" s="218" t="s">
        <v>59</v>
      </c>
      <c r="F10" s="46">
        <f>'City 1'!D6+'City 2'!D6+'City 3'!D6+'City 4'!D6+'City 5'!D6+'City 6'!D6+'City 7'!D6+'City 8'!D6+'City 9'!D6+'City 10'!D6+'City 11'!D6+'City 12'!D6+'City 13'!D6+'City 14'!D6+'City 15'!D6+'City 16'!D6+'City 17'!D6+'City 18'!D6+'City 19'!D6+'City 20'!D6+'City 21'!D6+'City 22'!D6+'City 23'!D6+'City 24'!D6+'City 25'!D6</f>
        <v>4</v>
      </c>
      <c r="G10" s="218" t="s">
        <v>60</v>
      </c>
      <c r="H10" s="46">
        <f>T38+T40</f>
        <v>-1</v>
      </c>
      <c r="I10" s="218" t="s">
        <v>60</v>
      </c>
      <c r="J10" s="46">
        <f>IF(COUNTIF(T18:V24,"Good Weather")&gt;0,4,0)+IF(COUNTIF(T18:V24,"Public Scandal")&gt;0,-4,0)</f>
        <v>0</v>
      </c>
      <c r="K10" s="218" t="s">
        <v>60</v>
      </c>
      <c r="L10" s="46">
        <f>IF(J36=B10,H36,0)+(IF(J18=B10,H18,0)+IF(L18=B10,H18,0)+IF(N18=B10,H18,0))+(IF(J20=B10,H20,0)+IF(L20=B10,H20,0)+IF(N20=B10,H20,0))+H22+H34+H40</f>
        <v>12</v>
      </c>
      <c r="M10" s="218" t="s">
        <v>60</v>
      </c>
      <c r="N10" s="46">
        <f>Kingdom!D6</f>
        <v>0</v>
      </c>
      <c r="O10" s="218" t="s">
        <v>60</v>
      </c>
      <c r="P10" s="46">
        <f>IF(D4="Chaotic",2,0)+IF(F4="Good",2,0)</f>
        <v>2</v>
      </c>
      <c r="Q10" s="218" t="s">
        <v>60</v>
      </c>
      <c r="R10" s="46">
        <f>$R$24*-1</f>
        <v>0</v>
      </c>
      <c r="S10" s="218" t="s">
        <v>60</v>
      </c>
      <c r="T10" s="46">
        <f>IF(D22=0,-2+T40,0)+IF(D28=0,-2,0)+IF(D40=0,-4,0)</f>
        <v>0</v>
      </c>
      <c r="U10" s="218" t="s">
        <v>60</v>
      </c>
      <c r="V10" s="59">
        <v>1</v>
      </c>
      <c r="W10" s="5"/>
      <c r="X10" s="400"/>
      <c r="Y10" s="18"/>
    </row>
    <row r="11" spans="1:25" s="1" customFormat="1" ht="3" customHeight="1" thickBot="1" x14ac:dyDescent="0.3">
      <c r="A11" s="33"/>
      <c r="B11" s="30"/>
      <c r="C11" s="20"/>
      <c r="D11" s="21"/>
      <c r="E11" s="218" t="s">
        <v>59</v>
      </c>
      <c r="F11" s="21"/>
      <c r="G11" s="21"/>
      <c r="H11" s="21"/>
      <c r="I11" s="21"/>
      <c r="J11" s="21"/>
      <c r="K11" s="218" t="s">
        <v>60</v>
      </c>
      <c r="L11" s="21"/>
      <c r="M11" s="218"/>
      <c r="N11" s="21"/>
      <c r="O11" s="218"/>
      <c r="P11" s="21"/>
      <c r="Q11" s="218"/>
      <c r="R11" s="21"/>
      <c r="S11" s="21"/>
      <c r="T11" s="21"/>
      <c r="U11" s="218" t="s">
        <v>60</v>
      </c>
      <c r="V11" s="21"/>
      <c r="W11" s="11"/>
      <c r="X11" s="11"/>
      <c r="Y11" s="22"/>
    </row>
    <row r="12" spans="1:25" ht="15" customHeight="1" thickBot="1" x14ac:dyDescent="0.3">
      <c r="A12" s="19"/>
      <c r="B12" s="239" t="s">
        <v>51</v>
      </c>
      <c r="C12" s="20"/>
      <c r="D12" s="224">
        <f>F12+H12+J12+L12+N12+P12+R12+T12+V12</f>
        <v>27</v>
      </c>
      <c r="E12" s="218" t="s">
        <v>59</v>
      </c>
      <c r="F12" s="46">
        <f>'City 1'!T4+'City 2'!T4+'City 3'!T4+'City 4'!T4+'City 5'!T4+'City 6'!T4+'City 7'!T4+'City 8'!T4+'City 9'!T4+'City 10'!T4+'City 11'!T4+'City 12'!T4+'City 13'!T4+'City 14'!T4+'City 15'!T4+'City 16'!T4+'City 17'!T4+'City 18'!T4+'City 19'!T4+'City 20'!T4+'City 21'!T4+'City 22'!T4+'City 23'!T4+'City 24'!T4+'City 25'!T4</f>
        <v>5</v>
      </c>
      <c r="G12" s="218" t="s">
        <v>60</v>
      </c>
      <c r="H12" s="46">
        <f>P36</f>
        <v>1</v>
      </c>
      <c r="I12" s="218" t="s">
        <v>60</v>
      </c>
      <c r="J12" s="46">
        <f>IF(COUNTIF(T18:V24,"Natural Blessing")&gt;0,4,0)</f>
        <v>0</v>
      </c>
      <c r="K12" s="218" t="s">
        <v>60</v>
      </c>
      <c r="L12" s="46">
        <f>IF(J36=B12,H36,0)+(IF(J18=B12,H18,0)+IF(L18=B12,H18,0)+IF(N18=B12,H18,0))+(IF(J20=B12,H20,0)+IF(L20=B12,H20,0)+IF(N20=B12,H20,0))+H24+H26+H28</f>
        <v>10</v>
      </c>
      <c r="M12" s="218" t="s">
        <v>60</v>
      </c>
      <c r="N12" s="46">
        <f>Kingdom!D8</f>
        <v>6</v>
      </c>
      <c r="O12" s="218" t="s">
        <v>60</v>
      </c>
      <c r="P12" s="46">
        <f>IF(D4="Neutral",2,0)+IF(F4="Neutral",2,0)</f>
        <v>0</v>
      </c>
      <c r="Q12" s="218" t="s">
        <v>60</v>
      </c>
      <c r="R12" s="46">
        <f>$R$24*-1</f>
        <v>0</v>
      </c>
      <c r="S12" s="218" t="s">
        <v>60</v>
      </c>
      <c r="T12" s="46">
        <f>IF(D24=0,-4,0)+IF(D26=0,-2+P36,0)+IF(D28=0,-2,0)+IF(D40=0,-2,0)</f>
        <v>0</v>
      </c>
      <c r="U12" s="218" t="s">
        <v>60</v>
      </c>
      <c r="V12" s="59">
        <v>5</v>
      </c>
      <c r="W12" s="5"/>
      <c r="X12" s="314">
        <v>1.01</v>
      </c>
      <c r="Y12" s="18"/>
    </row>
    <row r="13" spans="1:25" ht="3" customHeight="1" x14ac:dyDescent="0.25">
      <c r="A13" s="19"/>
      <c r="B13" s="5"/>
      <c r="C13" s="11"/>
      <c r="D13" s="5"/>
      <c r="E13" s="5"/>
      <c r="F13" s="5"/>
      <c r="G13" s="5"/>
      <c r="H13" s="5"/>
      <c r="I13" s="5"/>
      <c r="J13" s="5"/>
      <c r="K13" s="5"/>
      <c r="L13" s="5"/>
      <c r="M13" s="5"/>
      <c r="N13" s="5"/>
      <c r="O13" s="5"/>
      <c r="P13" s="5"/>
      <c r="Q13" s="5"/>
      <c r="R13" s="5"/>
      <c r="S13" s="5"/>
      <c r="T13" s="5"/>
      <c r="U13" s="5"/>
      <c r="V13" s="5"/>
      <c r="W13" s="5"/>
      <c r="X13" s="313"/>
      <c r="Y13" s="18"/>
    </row>
    <row r="14" spans="1:25" ht="15" customHeight="1" x14ac:dyDescent="0.25">
      <c r="A14" s="19"/>
      <c r="B14" s="359" t="s">
        <v>55</v>
      </c>
      <c r="C14" s="360"/>
      <c r="D14" s="360"/>
      <c r="E14" s="360"/>
      <c r="F14" s="360"/>
      <c r="G14" s="360"/>
      <c r="H14" s="360"/>
      <c r="I14" s="360"/>
      <c r="J14" s="360"/>
      <c r="K14" s="361"/>
      <c r="L14" s="361"/>
      <c r="M14" s="23"/>
      <c r="N14" s="23"/>
      <c r="O14" s="24"/>
      <c r="P14" s="69" t="s">
        <v>156</v>
      </c>
      <c r="Q14" s="23"/>
      <c r="R14" s="23"/>
      <c r="S14" s="23"/>
      <c r="T14" s="23"/>
      <c r="U14" s="23"/>
      <c r="V14" s="23"/>
      <c r="W14" s="5"/>
      <c r="X14" s="400" t="s">
        <v>1620</v>
      </c>
      <c r="Y14" s="18"/>
    </row>
    <row r="15" spans="1:25" s="1" customFormat="1" ht="5.0999999999999996" customHeight="1" thickBot="1" x14ac:dyDescent="0.3">
      <c r="A15" s="33"/>
      <c r="B15" s="31"/>
      <c r="C15" s="21"/>
      <c r="D15" s="21"/>
      <c r="E15" s="21"/>
      <c r="F15" s="21"/>
      <c r="G15" s="21"/>
      <c r="H15" s="21"/>
      <c r="I15" s="21"/>
      <c r="J15" s="21"/>
      <c r="K15" s="11"/>
      <c r="L15" s="25"/>
      <c r="M15" s="24"/>
      <c r="N15" s="24"/>
      <c r="O15" s="24"/>
      <c r="P15" s="24"/>
      <c r="Q15" s="24"/>
      <c r="R15" s="24"/>
      <c r="S15" s="24"/>
      <c r="T15" s="24"/>
      <c r="U15" s="24"/>
      <c r="V15" s="24"/>
      <c r="W15" s="11"/>
      <c r="X15" s="400"/>
      <c r="Y15" s="22"/>
    </row>
    <row r="16" spans="1:25" ht="15.75" thickBot="1" x14ac:dyDescent="0.3">
      <c r="A16" s="19"/>
      <c r="B16" s="216" t="s">
        <v>82</v>
      </c>
      <c r="C16" s="26"/>
      <c r="D16" s="404" t="s">
        <v>83</v>
      </c>
      <c r="E16" s="405"/>
      <c r="F16" s="405"/>
      <c r="G16" s="27"/>
      <c r="H16" s="216" t="s">
        <v>84</v>
      </c>
      <c r="I16" s="5"/>
      <c r="J16" s="216" t="s">
        <v>85</v>
      </c>
      <c r="K16" s="5"/>
      <c r="L16" s="397" t="s">
        <v>1345</v>
      </c>
      <c r="M16" s="398"/>
      <c r="N16" s="398"/>
      <c r="O16" s="398"/>
      <c r="P16" s="398"/>
      <c r="Q16" s="398"/>
      <c r="R16" s="399"/>
      <c r="S16" s="5"/>
      <c r="T16" s="390" t="s">
        <v>65</v>
      </c>
      <c r="U16" s="390"/>
      <c r="V16" s="390"/>
      <c r="W16" s="5"/>
      <c r="X16" s="400"/>
      <c r="Y16" s="18"/>
    </row>
    <row r="17" spans="1:25" s="130" customFormat="1" ht="3" customHeight="1" thickBot="1" x14ac:dyDescent="0.3">
      <c r="A17" s="243"/>
      <c r="B17" s="244"/>
      <c r="C17" s="134"/>
      <c r="D17" s="139"/>
      <c r="E17" s="139"/>
      <c r="F17" s="139"/>
      <c r="G17" s="139"/>
      <c r="H17" s="139"/>
      <c r="I17" s="139"/>
      <c r="J17" s="139"/>
      <c r="K17" s="139"/>
      <c r="L17" s="139"/>
      <c r="M17" s="139"/>
      <c r="N17" s="139"/>
      <c r="O17" s="139"/>
      <c r="P17" s="139"/>
      <c r="Q17" s="139"/>
      <c r="R17" s="139"/>
      <c r="S17" s="139"/>
      <c r="T17" s="139"/>
      <c r="U17" s="139"/>
      <c r="V17" s="139"/>
      <c r="W17" s="139"/>
      <c r="Y17" s="245"/>
    </row>
    <row r="18" spans="1:25" ht="15.75" thickBot="1" x14ac:dyDescent="0.3">
      <c r="A18" s="19"/>
      <c r="B18" s="32" t="s">
        <v>71</v>
      </c>
      <c r="C18" s="11"/>
      <c r="D18" s="371" t="s">
        <v>1685</v>
      </c>
      <c r="E18" s="372"/>
      <c r="F18" s="373"/>
      <c r="G18" s="5"/>
      <c r="H18" s="57">
        <v>6</v>
      </c>
      <c r="I18" s="5"/>
      <c r="J18" s="58" t="s">
        <v>49</v>
      </c>
      <c r="K18" s="5"/>
      <c r="L18" s="58"/>
      <c r="M18" s="5"/>
      <c r="N18" s="58"/>
      <c r="O18" s="5"/>
      <c r="P18" s="281"/>
      <c r="Q18" s="281"/>
      <c r="R18" s="281"/>
      <c r="S18" s="5"/>
      <c r="T18" s="371"/>
      <c r="U18" s="372"/>
      <c r="V18" s="373"/>
      <c r="W18" s="5"/>
      <c r="X18" s="249" t="s">
        <v>1601</v>
      </c>
      <c r="Y18" s="18"/>
    </row>
    <row r="19" spans="1:25" s="130" customFormat="1" ht="3" customHeight="1" thickBot="1" x14ac:dyDescent="0.3">
      <c r="A19" s="243"/>
      <c r="B19" s="246"/>
      <c r="C19" s="134"/>
      <c r="D19" s="139"/>
      <c r="E19" s="139"/>
      <c r="F19" s="139"/>
      <c r="G19" s="139"/>
      <c r="H19" s="140"/>
      <c r="I19" s="139"/>
      <c r="J19" s="139"/>
      <c r="K19" s="139"/>
      <c r="L19" s="139"/>
      <c r="M19" s="139"/>
      <c r="N19" s="139"/>
      <c r="O19" s="139"/>
      <c r="P19" s="139"/>
      <c r="Q19" s="139"/>
      <c r="R19" s="139"/>
      <c r="S19" s="139"/>
      <c r="T19" s="139"/>
      <c r="U19" s="139"/>
      <c r="V19" s="139"/>
      <c r="W19" s="139"/>
      <c r="Y19" s="245"/>
    </row>
    <row r="20" spans="1:25" ht="15.75" thickBot="1" x14ac:dyDescent="0.3">
      <c r="A20" s="19"/>
      <c r="B20" s="32" t="s">
        <v>71</v>
      </c>
      <c r="C20" s="11"/>
      <c r="D20" s="371" t="s">
        <v>1676</v>
      </c>
      <c r="E20" s="372"/>
      <c r="F20" s="373"/>
      <c r="G20" s="5"/>
      <c r="H20" s="57"/>
      <c r="I20" s="5"/>
      <c r="J20" s="58"/>
      <c r="K20" s="5"/>
      <c r="L20" s="58"/>
      <c r="M20" s="5"/>
      <c r="N20" s="58"/>
      <c r="O20" s="5"/>
      <c r="P20" s="215" t="s">
        <v>64</v>
      </c>
      <c r="Q20" s="11"/>
      <c r="R20" s="57">
        <v>28</v>
      </c>
      <c r="S20" s="5"/>
      <c r="T20" s="371"/>
      <c r="U20" s="372"/>
      <c r="V20" s="373"/>
      <c r="W20" s="5"/>
      <c r="X20" s="32" t="s">
        <v>1616</v>
      </c>
      <c r="Y20" s="18"/>
    </row>
    <row r="21" spans="1:25" s="130" customFormat="1" ht="3" customHeight="1" thickBot="1" x14ac:dyDescent="0.3">
      <c r="A21" s="243"/>
      <c r="B21" s="246"/>
      <c r="C21" s="134"/>
      <c r="D21" s="139"/>
      <c r="E21" s="139"/>
      <c r="F21" s="139"/>
      <c r="G21" s="139"/>
      <c r="H21" s="140"/>
      <c r="I21" s="139"/>
      <c r="J21" s="139"/>
      <c r="K21" s="139"/>
      <c r="L21" s="139"/>
      <c r="M21" s="139"/>
      <c r="N21" s="139"/>
      <c r="O21" s="139"/>
      <c r="P21" s="139"/>
      <c r="Q21" s="139"/>
      <c r="R21" s="139"/>
      <c r="S21" s="139"/>
      <c r="T21" s="139"/>
      <c r="U21" s="139"/>
      <c r="V21" s="139"/>
      <c r="W21" s="139"/>
      <c r="X21" s="5"/>
      <c r="Y21" s="245"/>
    </row>
    <row r="22" spans="1:25" ht="15.75" thickBot="1" x14ac:dyDescent="0.3">
      <c r="A22" s="19"/>
      <c r="B22" s="32" t="s">
        <v>72</v>
      </c>
      <c r="C22" s="11"/>
      <c r="D22" s="371" t="s">
        <v>1677</v>
      </c>
      <c r="E22" s="372"/>
      <c r="F22" s="373"/>
      <c r="G22" s="5"/>
      <c r="H22" s="57">
        <v>2</v>
      </c>
      <c r="I22" s="5"/>
      <c r="J22" s="225" t="s">
        <v>50</v>
      </c>
      <c r="K22" s="5"/>
      <c r="L22" s="390" t="s">
        <v>384</v>
      </c>
      <c r="M22" s="390"/>
      <c r="N22" s="390"/>
      <c r="O22" s="5"/>
      <c r="P22" s="215" t="s">
        <v>381</v>
      </c>
      <c r="Q22" s="5"/>
      <c r="R22" s="60">
        <f>Kingdom!D10+'City Summary'!H6+'City Summary'!Q6+'City Summary'!H33+'City Summary'!Q33+'City Summary'!H60+'City Summary'!Q60+'City Summary'!H87+'City Summary'!Q87+'City Summary'!H114+'City Summary'!Q114+'City Summary'!H141+'City Summary'!Q141+'City Summary'!H168+'City Summary'!Q168+'City Summary'!H195+'City Summary'!Q195+'City Summary'!H222+'City Summary'!Q222+'City Summary'!H249+'City Summary'!Q249+'City Summary'!H276+'City Summary'!Q276+'City Summary'!H303+'City Summary'!Q303+'City Summary'!H330</f>
        <v>8</v>
      </c>
      <c r="S22" s="5"/>
      <c r="T22" s="371"/>
      <c r="U22" s="372"/>
      <c r="V22" s="373"/>
      <c r="W22" s="5"/>
      <c r="X22" s="305" t="s">
        <v>1598</v>
      </c>
      <c r="Y22" s="18"/>
    </row>
    <row r="23" spans="1:25" s="130" customFormat="1" ht="3" customHeight="1" thickBot="1" x14ac:dyDescent="0.3">
      <c r="A23" s="243"/>
      <c r="B23" s="246"/>
      <c r="C23" s="134"/>
      <c r="D23" s="139"/>
      <c r="E23" s="139"/>
      <c r="F23" s="139"/>
      <c r="G23" s="139"/>
      <c r="H23" s="140"/>
      <c r="I23" s="139"/>
      <c r="J23" s="139"/>
      <c r="K23" s="139"/>
      <c r="L23" s="139"/>
      <c r="M23" s="139"/>
      <c r="N23" s="139"/>
      <c r="O23" s="139"/>
      <c r="P23" s="139"/>
      <c r="Q23" s="139"/>
      <c r="R23" s="139"/>
      <c r="S23" s="139"/>
      <c r="T23" s="139"/>
      <c r="U23" s="139"/>
      <c r="V23" s="139"/>
      <c r="W23" s="139"/>
      <c r="X23" s="240"/>
      <c r="Y23" s="245"/>
    </row>
    <row r="24" spans="1:25" ht="15.75" thickBot="1" x14ac:dyDescent="0.3">
      <c r="A24" s="19"/>
      <c r="B24" s="32" t="s">
        <v>73</v>
      </c>
      <c r="C24" s="11"/>
      <c r="D24" s="371" t="s">
        <v>1679</v>
      </c>
      <c r="E24" s="372"/>
      <c r="F24" s="373"/>
      <c r="G24" s="5"/>
      <c r="H24" s="57">
        <v>4</v>
      </c>
      <c r="I24" s="5"/>
      <c r="J24" s="224" t="s">
        <v>51</v>
      </c>
      <c r="K24" s="5"/>
      <c r="L24" s="391">
        <f>IF((IF(D18=0,4,0)+IF(D22=0,1,0)+IF(D28=0,1,0)+IF(D36=0,1,0)+IF(D34&lt;&gt;0,-1,0)+Kingdom!D12)&lt;0,0,CONCATENATE("+",(IF(D18=0,4,0)+IF(D22=0,1,0)+IF(D28=0,1,0)+IF(D36=0,1,0)+IF(D34&lt;&gt;0,-1,0)+Kingdom!D12)))</f>
        <v>0</v>
      </c>
      <c r="M24" s="392"/>
      <c r="N24" s="393"/>
      <c r="O24" s="5"/>
      <c r="P24" s="215" t="s">
        <v>57</v>
      </c>
      <c r="Q24" s="5"/>
      <c r="R24" s="57">
        <v>0</v>
      </c>
      <c r="S24" s="5"/>
      <c r="T24" s="371"/>
      <c r="U24" s="372"/>
      <c r="V24" s="373"/>
      <c r="W24" s="5"/>
      <c r="X24" s="305" t="s">
        <v>1599</v>
      </c>
      <c r="Y24" s="18"/>
    </row>
    <row r="25" spans="1:25" s="130" customFormat="1" ht="3" customHeight="1" thickBot="1" x14ac:dyDescent="0.3">
      <c r="A25" s="243"/>
      <c r="B25" s="246"/>
      <c r="C25" s="134"/>
      <c r="D25" s="139"/>
      <c r="E25" s="247"/>
      <c r="F25" s="139"/>
      <c r="G25" s="139"/>
      <c r="H25" s="140"/>
      <c r="I25" s="139"/>
      <c r="J25" s="139"/>
      <c r="K25" s="139"/>
      <c r="L25" s="139"/>
      <c r="M25" s="139"/>
      <c r="N25" s="139"/>
      <c r="O25" s="139"/>
      <c r="P25" s="139"/>
      <c r="Q25" s="139"/>
      <c r="R25" s="139"/>
      <c r="S25" s="139"/>
      <c r="T25" s="139"/>
      <c r="U25" s="139"/>
      <c r="V25" s="139"/>
      <c r="W25" s="139"/>
      <c r="X25" s="240"/>
      <c r="Y25" s="245"/>
    </row>
    <row r="26" spans="1:25" ht="15.75" thickBot="1" x14ac:dyDescent="0.3">
      <c r="A26" s="19"/>
      <c r="B26" s="32" t="s">
        <v>74</v>
      </c>
      <c r="C26" s="11"/>
      <c r="D26" s="371" t="s">
        <v>1678</v>
      </c>
      <c r="E26" s="372"/>
      <c r="F26" s="373"/>
      <c r="G26" s="5"/>
      <c r="H26" s="57">
        <v>2</v>
      </c>
      <c r="I26" s="5"/>
      <c r="J26" s="224" t="s">
        <v>51</v>
      </c>
      <c r="K26" s="5"/>
      <c r="L26" s="375" t="s">
        <v>63</v>
      </c>
      <c r="M26" s="376"/>
      <c r="N26" s="376"/>
      <c r="O26" s="376"/>
      <c r="P26" s="376"/>
      <c r="Q26" s="376"/>
      <c r="R26" s="376"/>
      <c r="S26" s="376"/>
      <c r="T26" s="376"/>
      <c r="U26" s="376"/>
      <c r="V26" s="377"/>
      <c r="W26" s="5"/>
      <c r="X26" s="306" t="s">
        <v>1600</v>
      </c>
      <c r="Y26" s="18"/>
    </row>
    <row r="27" spans="1:25" s="130" customFormat="1" ht="3" customHeight="1" thickBot="1" x14ac:dyDescent="0.3">
      <c r="A27" s="243"/>
      <c r="B27" s="246"/>
      <c r="C27" s="134"/>
      <c r="D27" s="139"/>
      <c r="E27" s="139"/>
      <c r="F27" s="139"/>
      <c r="G27" s="139"/>
      <c r="H27" s="140"/>
      <c r="I27" s="139"/>
      <c r="J27" s="139"/>
      <c r="K27" s="139"/>
      <c r="L27" s="139"/>
      <c r="M27" s="139"/>
      <c r="N27" s="139"/>
      <c r="O27" s="139"/>
      <c r="P27" s="139"/>
      <c r="Q27" s="139"/>
      <c r="R27" s="139"/>
      <c r="S27" s="139"/>
      <c r="T27" s="139"/>
      <c r="U27" s="139"/>
      <c r="V27" s="139"/>
      <c r="W27" s="139"/>
      <c r="X27" s="311"/>
      <c r="Y27" s="245"/>
    </row>
    <row r="28" spans="1:25" ht="15.75" thickBot="1" x14ac:dyDescent="0.3">
      <c r="A28" s="19"/>
      <c r="B28" s="32" t="s">
        <v>75</v>
      </c>
      <c r="C28" s="11"/>
      <c r="D28" s="371" t="s">
        <v>1680</v>
      </c>
      <c r="E28" s="372"/>
      <c r="F28" s="373"/>
      <c r="G28" s="5"/>
      <c r="H28" s="57">
        <v>4</v>
      </c>
      <c r="I28" s="5"/>
      <c r="J28" s="224" t="s">
        <v>51</v>
      </c>
      <c r="K28" s="5"/>
      <c r="L28" s="216" t="s">
        <v>52</v>
      </c>
      <c r="M28" s="5"/>
      <c r="N28" s="216" t="s">
        <v>43</v>
      </c>
      <c r="O28" s="5"/>
      <c r="P28" s="216" t="s">
        <v>61</v>
      </c>
      <c r="Q28" s="5"/>
      <c r="R28" s="216" t="s">
        <v>53</v>
      </c>
      <c r="S28" s="5"/>
      <c r="T28" s="216" t="s">
        <v>62</v>
      </c>
      <c r="U28" s="5"/>
      <c r="V28" s="216" t="s">
        <v>277</v>
      </c>
      <c r="W28" s="5"/>
      <c r="X28" s="306" t="s">
        <v>1601</v>
      </c>
      <c r="Y28" s="18"/>
    </row>
    <row r="29" spans="1:25" s="130" customFormat="1" ht="3" customHeight="1" thickBot="1" x14ac:dyDescent="0.3">
      <c r="A29" s="243"/>
      <c r="B29" s="246"/>
      <c r="C29" s="134"/>
      <c r="D29" s="139"/>
      <c r="E29" s="139"/>
      <c r="F29" s="139"/>
      <c r="G29" s="139"/>
      <c r="H29" s="140"/>
      <c r="I29" s="139"/>
      <c r="J29" s="139"/>
      <c r="K29" s="139"/>
      <c r="L29" s="139"/>
      <c r="M29" s="139"/>
      <c r="N29" s="139"/>
      <c r="O29" s="139"/>
      <c r="P29" s="139"/>
      <c r="Q29" s="139"/>
      <c r="R29" s="139"/>
      <c r="S29" s="139"/>
      <c r="T29" s="139"/>
      <c r="U29" s="139"/>
      <c r="V29" s="139"/>
      <c r="W29" s="139"/>
      <c r="X29" s="311"/>
      <c r="Y29" s="245"/>
    </row>
    <row r="30" spans="1:25" ht="15.75" thickBot="1" x14ac:dyDescent="0.3">
      <c r="A30" s="19"/>
      <c r="B30" s="32" t="s">
        <v>76</v>
      </c>
      <c r="C30" s="11"/>
      <c r="D30" s="371" t="s">
        <v>1681</v>
      </c>
      <c r="E30" s="372"/>
      <c r="F30" s="373"/>
      <c r="G30" s="5"/>
      <c r="H30" s="57">
        <v>4</v>
      </c>
      <c r="I30" s="5"/>
      <c r="J30" s="223" t="s">
        <v>49</v>
      </c>
      <c r="K30" s="5"/>
      <c r="L30" s="221">
        <f>IF(AND(COUNTIF(T18:V24,"Food Shortage")&gt;0,(N30+P30+R30+T30+V30)&gt;0)=TRUE,ROUNDDOWN(2*(N30+P30+R30+T30+V30),0),IF(AND(COUNTIF(T18:V24,"Food Surplus")&gt;0,(N30+P30+R30+T30+V30)&gt;0)=TRUE,ROUNDDOWN(0.5*(N30+P30+R30+T30+V30),0),IF((N30+P30+R30+T30+V30)&lt;1,"Nil",(N30+P30+R30+T30+V30))))</f>
        <v>1</v>
      </c>
      <c r="M30" s="218" t="s">
        <v>59</v>
      </c>
      <c r="N30" s="46">
        <f>Kingdom!D2</f>
        <v>8</v>
      </c>
      <c r="O30" s="218" t="s">
        <v>60</v>
      </c>
      <c r="P30" s="46">
        <f>'City Overview'!F27</f>
        <v>1</v>
      </c>
      <c r="Q30" s="218" t="s">
        <v>60</v>
      </c>
      <c r="R30" s="46">
        <f>V36+V40</f>
        <v>2</v>
      </c>
      <c r="S30" s="218" t="s">
        <v>60</v>
      </c>
      <c r="T30" s="46">
        <f>Kingdom!D20*2*-1</f>
        <v>-10</v>
      </c>
      <c r="U30" s="218" t="s">
        <v>60</v>
      </c>
      <c r="V30" s="60">
        <f>(4*'Army Summary'!C61)</f>
        <v>0</v>
      </c>
      <c r="W30" s="5"/>
      <c r="X30" s="306" t="s">
        <v>1602</v>
      </c>
      <c r="Y30" s="18"/>
    </row>
    <row r="31" spans="1:25" s="130" customFormat="1" ht="3" customHeight="1" thickBot="1" x14ac:dyDescent="0.3">
      <c r="A31" s="243"/>
      <c r="B31" s="246"/>
      <c r="C31" s="134"/>
      <c r="D31" s="139"/>
      <c r="E31" s="139"/>
      <c r="F31" s="139"/>
      <c r="G31" s="139"/>
      <c r="H31" s="140"/>
      <c r="I31" s="139"/>
      <c r="J31" s="139"/>
      <c r="K31" s="139"/>
      <c r="L31" s="139"/>
      <c r="M31" s="139"/>
      <c r="N31" s="139"/>
      <c r="O31" s="139"/>
      <c r="P31" s="139"/>
      <c r="Q31" s="139"/>
      <c r="R31" s="139"/>
      <c r="S31" s="139"/>
      <c r="T31" s="139"/>
      <c r="U31" s="139"/>
      <c r="V31" s="248"/>
      <c r="W31" s="139"/>
      <c r="X31" s="240"/>
      <c r="Y31" s="245"/>
    </row>
    <row r="32" spans="1:25" ht="15.75" thickBot="1" x14ac:dyDescent="0.3">
      <c r="A32" s="19"/>
      <c r="B32" s="32" t="s">
        <v>77</v>
      </c>
      <c r="C32" s="11"/>
      <c r="D32" s="371" t="s">
        <v>1682</v>
      </c>
      <c r="E32" s="372"/>
      <c r="F32" s="373"/>
      <c r="G32" s="5"/>
      <c r="H32" s="57">
        <v>4</v>
      </c>
      <c r="I32" s="5"/>
      <c r="J32" s="223" t="s">
        <v>49</v>
      </c>
      <c r="K32" s="5"/>
      <c r="L32" s="359" t="s">
        <v>53</v>
      </c>
      <c r="M32" s="360"/>
      <c r="N32" s="360"/>
      <c r="O32" s="360"/>
      <c r="P32" s="360"/>
      <c r="Q32" s="360"/>
      <c r="R32" s="360"/>
      <c r="S32" s="360"/>
      <c r="T32" s="360"/>
      <c r="U32" s="361"/>
      <c r="V32" s="361"/>
      <c r="W32" s="5"/>
      <c r="X32" s="307" t="s">
        <v>1603</v>
      </c>
      <c r="Y32" s="18"/>
    </row>
    <row r="33" spans="1:25" s="130" customFormat="1" ht="3" customHeight="1" thickBot="1" x14ac:dyDescent="0.3">
      <c r="A33" s="243"/>
      <c r="B33" s="246"/>
      <c r="C33" s="134"/>
      <c r="D33" s="139"/>
      <c r="E33" s="139"/>
      <c r="F33" s="139"/>
      <c r="G33" s="139"/>
      <c r="H33" s="140"/>
      <c r="I33" s="139"/>
      <c r="J33" s="139"/>
      <c r="K33" s="139"/>
      <c r="L33" s="139"/>
      <c r="M33" s="139"/>
      <c r="N33" s="139"/>
      <c r="O33" s="139"/>
      <c r="P33" s="139"/>
      <c r="Q33" s="139"/>
      <c r="R33" s="139"/>
      <c r="S33" s="139"/>
      <c r="T33" s="139"/>
      <c r="U33" s="139"/>
      <c r="V33" s="139"/>
      <c r="W33" s="139"/>
      <c r="X33" s="311"/>
      <c r="Y33" s="245"/>
    </row>
    <row r="34" spans="1:25" ht="15.75" thickBot="1" x14ac:dyDescent="0.3">
      <c r="A34" s="19"/>
      <c r="B34" s="32" t="s">
        <v>78</v>
      </c>
      <c r="C34" s="11"/>
      <c r="D34" s="371" t="s">
        <v>1683</v>
      </c>
      <c r="E34" s="372"/>
      <c r="F34" s="373"/>
      <c r="G34" s="5"/>
      <c r="H34" s="57">
        <v>5</v>
      </c>
      <c r="I34" s="5"/>
      <c r="J34" s="225" t="s">
        <v>50</v>
      </c>
      <c r="K34" s="5"/>
      <c r="L34" s="11"/>
      <c r="M34" s="11"/>
      <c r="N34" s="216" t="s">
        <v>90</v>
      </c>
      <c r="O34" s="216"/>
      <c r="P34" s="216" t="s">
        <v>51</v>
      </c>
      <c r="Q34" s="216"/>
      <c r="R34" s="216" t="s">
        <v>49</v>
      </c>
      <c r="S34" s="216"/>
      <c r="T34" s="216" t="s">
        <v>50</v>
      </c>
      <c r="U34" s="216"/>
      <c r="V34" s="216" t="s">
        <v>86</v>
      </c>
      <c r="W34" s="5"/>
      <c r="X34" s="307" t="s">
        <v>1604</v>
      </c>
      <c r="Y34" s="18"/>
    </row>
    <row r="35" spans="1:25" s="130" customFormat="1" ht="3" customHeight="1" thickBot="1" x14ac:dyDescent="0.3">
      <c r="A35" s="243"/>
      <c r="B35" s="246"/>
      <c r="C35" s="134"/>
      <c r="D35" s="139"/>
      <c r="E35" s="139"/>
      <c r="F35" s="139"/>
      <c r="G35" s="139"/>
      <c r="H35" s="140"/>
      <c r="I35" s="139"/>
      <c r="J35" s="139"/>
      <c r="K35" s="139"/>
      <c r="L35" s="139"/>
      <c r="M35" s="134"/>
      <c r="N35" s="139"/>
      <c r="O35" s="139"/>
      <c r="P35" s="139"/>
      <c r="Q35" s="139"/>
      <c r="R35" s="139"/>
      <c r="S35" s="139"/>
      <c r="T35" s="139"/>
      <c r="U35" s="139"/>
      <c r="V35" s="139"/>
      <c r="W35" s="139"/>
      <c r="X35" s="312"/>
      <c r="Y35" s="245"/>
    </row>
    <row r="36" spans="1:25" ht="15.75" thickBot="1" x14ac:dyDescent="0.3">
      <c r="A36" s="19"/>
      <c r="B36" s="32" t="s">
        <v>79</v>
      </c>
      <c r="C36" s="11"/>
      <c r="D36" s="371" t="s">
        <v>1714</v>
      </c>
      <c r="E36" s="372"/>
      <c r="F36" s="373"/>
      <c r="G36" s="5"/>
      <c r="H36" s="57">
        <v>6</v>
      </c>
      <c r="I36" s="5"/>
      <c r="J36" s="58" t="s">
        <v>49</v>
      </c>
      <c r="K36" s="5"/>
      <c r="L36" s="217" t="s">
        <v>87</v>
      </c>
      <c r="M36" s="11"/>
      <c r="N36" s="249" t="s">
        <v>112</v>
      </c>
      <c r="O36" s="5"/>
      <c r="P36" s="46">
        <f>IF(N36="None",-1,0)+IF(N36="Token",1,0)+IF(N36="Standard",2,0)+IF(N36="Aggressive",3,0)+IF(N36="Expansionist",4,0)</f>
        <v>1</v>
      </c>
      <c r="Q36" s="218"/>
      <c r="R36" s="46"/>
      <c r="S36" s="218"/>
      <c r="T36" s="46"/>
      <c r="U36" s="218"/>
      <c r="V36" s="46">
        <f>IF('City Overview'!D27=0,(IF(N36="None",0)+IF(N36="Token",1,0)+IF(N36="Standard",2,0)+IF(N36="Aggressive",4,0)+IF(N36="Expansionist",8,0)), ((IF(N36="None",0)+IF(N36="Token",1,0)+IF(N36="Standard",2,0)+IF(N36="Aggressive",4,0)+IF(N36="Expansionist",8,0))*0.5))</f>
        <v>1</v>
      </c>
      <c r="W36" s="5"/>
      <c r="X36" s="307" t="s">
        <v>1605</v>
      </c>
      <c r="Y36" s="18"/>
    </row>
    <row r="37" spans="1:25" s="130" customFormat="1" ht="3" customHeight="1" thickBot="1" x14ac:dyDescent="0.3">
      <c r="A37" s="243"/>
      <c r="B37" s="246"/>
      <c r="C37" s="134"/>
      <c r="D37" s="139"/>
      <c r="E37" s="139"/>
      <c r="F37" s="139"/>
      <c r="G37" s="139"/>
      <c r="H37" s="140"/>
      <c r="I37" s="139"/>
      <c r="J37" s="139"/>
      <c r="K37" s="139"/>
      <c r="L37" s="139"/>
      <c r="M37" s="134"/>
      <c r="N37" s="219"/>
      <c r="O37" s="139"/>
      <c r="P37" s="140"/>
      <c r="Q37" s="140"/>
      <c r="R37" s="140"/>
      <c r="S37" s="140"/>
      <c r="T37" s="140"/>
      <c r="U37" s="140"/>
      <c r="V37" s="140"/>
      <c r="W37" s="139"/>
      <c r="X37" s="312"/>
      <c r="Y37" s="245"/>
    </row>
    <row r="38" spans="1:25" ht="15.75" thickBot="1" x14ac:dyDescent="0.3">
      <c r="A38" s="19"/>
      <c r="B38" s="32" t="s">
        <v>80</v>
      </c>
      <c r="C38" s="11"/>
      <c r="D38" s="371" t="s">
        <v>1674</v>
      </c>
      <c r="E38" s="372"/>
      <c r="F38" s="373"/>
      <c r="G38" s="5"/>
      <c r="H38" s="57">
        <v>5</v>
      </c>
      <c r="I38" s="5"/>
      <c r="J38" s="223" t="s">
        <v>49</v>
      </c>
      <c r="K38" s="5"/>
      <c r="L38" s="217" t="s">
        <v>88</v>
      </c>
      <c r="M38" s="11"/>
      <c r="N38" s="249" t="s">
        <v>116</v>
      </c>
      <c r="O38" s="5"/>
      <c r="P38" s="46"/>
      <c r="Q38" s="218"/>
      <c r="R38" s="46">
        <f>IF(N38="None",0,0)+IF(N38="Light",1,0)+IF(N38="Normal",2,0)+IF(N38="Heavy",3,0)+IF(N38="Overwhelming",4,0)</f>
        <v>2</v>
      </c>
      <c r="S38" s="218"/>
      <c r="T38" s="46">
        <f>IF('City Overview'!E27=0,(IF(N38="None",1)+IF(N38="Light",-1,0)+IF(N38="Normal",-2,0)+IF(N38="Heavy",-4,0)+IF(N38="Overwhelming",-8,0)), ((IF(N38="None",2)+IF(N38="Light",0,0)+IF(N38="Normal",-2,0)+IF(N38="Heavy",-4,0)+IF(N38="Overwhelming",-8,0))*0.5))</f>
        <v>-2</v>
      </c>
      <c r="U38" s="218"/>
      <c r="V38" s="46"/>
      <c r="W38" s="5"/>
      <c r="X38" s="308" t="s">
        <v>1606</v>
      </c>
      <c r="Y38" s="18"/>
    </row>
    <row r="39" spans="1:25" s="130" customFormat="1" ht="3" customHeight="1" thickBot="1" x14ac:dyDescent="0.3">
      <c r="A39" s="243"/>
      <c r="B39" s="246"/>
      <c r="C39" s="134"/>
      <c r="D39" s="139"/>
      <c r="E39" s="139"/>
      <c r="F39" s="139"/>
      <c r="G39" s="139"/>
      <c r="H39" s="140"/>
      <c r="I39" s="139"/>
      <c r="J39" s="139"/>
      <c r="K39" s="139"/>
      <c r="L39" s="139"/>
      <c r="M39" s="134"/>
      <c r="N39" s="219"/>
      <c r="O39" s="139"/>
      <c r="P39" s="140"/>
      <c r="Q39" s="140"/>
      <c r="R39" s="140"/>
      <c r="S39" s="140"/>
      <c r="T39" s="140"/>
      <c r="U39" s="140"/>
      <c r="V39" s="140"/>
      <c r="W39" s="139"/>
      <c r="X39" s="312"/>
      <c r="Y39" s="245"/>
    </row>
    <row r="40" spans="1:25" ht="15.75" thickBot="1" x14ac:dyDescent="0.3">
      <c r="A40" s="19"/>
      <c r="B40" s="32" t="s">
        <v>81</v>
      </c>
      <c r="C40" s="11"/>
      <c r="D40" s="371" t="s">
        <v>1684</v>
      </c>
      <c r="E40" s="372"/>
      <c r="F40" s="373"/>
      <c r="G40" s="5"/>
      <c r="H40" s="57">
        <v>5</v>
      </c>
      <c r="I40" s="5"/>
      <c r="J40" s="225" t="s">
        <v>50</v>
      </c>
      <c r="K40" s="5"/>
      <c r="L40" s="217" t="s">
        <v>89</v>
      </c>
      <c r="M40" s="11"/>
      <c r="N40" s="249">
        <v>1</v>
      </c>
      <c r="O40" s="5"/>
      <c r="P40" s="46"/>
      <c r="Q40" s="218"/>
      <c r="R40" s="46"/>
      <c r="S40" s="218"/>
      <c r="T40" s="46">
        <f>IF(N40="None",-1,0)+IF(N40=1,1,0)+IF(N40=6,2,0)+IF(N40=12,3,0)+IF(N40=24,4,0)</f>
        <v>1</v>
      </c>
      <c r="U40" s="218"/>
      <c r="V40" s="46">
        <f>IF('City Overview'!C27=0,(IF(N40="None",0)+IF(N40=1,1,0)+IF(N40=6,2,0)+IF(N40=12,4,0)+IF(N40=24,8,0)), (IF(N40="None",0)+IF(N40=1,1,0)+IF(N40=6,2,0)+IF(N40=12,4,0)+IF(N40=24,8,0))*0.5)</f>
        <v>1</v>
      </c>
      <c r="W40" s="5"/>
      <c r="X40" s="308" t="s">
        <v>1607</v>
      </c>
      <c r="Y40" s="18"/>
    </row>
    <row r="41" spans="1:25" s="130" customFormat="1" ht="3" customHeight="1" thickBot="1" x14ac:dyDescent="0.3">
      <c r="A41" s="243"/>
      <c r="B41" s="246"/>
      <c r="C41" s="134"/>
      <c r="D41" s="139"/>
      <c r="E41" s="139"/>
      <c r="F41" s="139"/>
      <c r="G41" s="139"/>
      <c r="H41" s="140"/>
      <c r="I41" s="139"/>
      <c r="J41" s="139"/>
      <c r="K41" s="139"/>
      <c r="L41" s="139"/>
      <c r="M41" s="134"/>
      <c r="N41" s="219"/>
      <c r="O41" s="139"/>
      <c r="P41" s="140"/>
      <c r="Q41" s="140"/>
      <c r="R41" s="140"/>
      <c r="S41" s="140"/>
      <c r="T41" s="140"/>
      <c r="U41" s="140"/>
      <c r="V41" s="140"/>
      <c r="W41" s="139"/>
      <c r="X41" s="312"/>
      <c r="Y41" s="245"/>
    </row>
    <row r="42" spans="1:25" ht="15.75" thickBot="1" x14ac:dyDescent="0.3">
      <c r="A42" s="19"/>
      <c r="B42" s="158" t="s">
        <v>282</v>
      </c>
      <c r="C42" s="11"/>
      <c r="D42" s="374" t="s">
        <v>382</v>
      </c>
      <c r="E42" s="374"/>
      <c r="F42" s="374"/>
      <c r="G42" s="5"/>
      <c r="H42" s="387" t="str">
        <f ca="1">'Event Generator'!E1</f>
        <v>NO EVENT THIS MONTH</v>
      </c>
      <c r="I42" s="388"/>
      <c r="J42" s="388"/>
      <c r="K42" s="388"/>
      <c r="L42" s="389"/>
      <c r="M42" s="5"/>
      <c r="N42" s="374" t="s">
        <v>383</v>
      </c>
      <c r="O42" s="374"/>
      <c r="P42" s="374"/>
      <c r="Q42" s="5"/>
      <c r="R42" s="387" t="str">
        <f ca="1">'Event Generator'!E2</f>
        <v>Archeological Discovery</v>
      </c>
      <c r="S42" s="388"/>
      <c r="T42" s="388"/>
      <c r="U42" s="388"/>
      <c r="V42" s="389"/>
      <c r="W42" s="5"/>
      <c r="X42" s="308" t="s">
        <v>1608</v>
      </c>
      <c r="Y42" s="18"/>
    </row>
    <row r="43" spans="1:25" ht="3" customHeight="1" thickBot="1" x14ac:dyDescent="0.3">
      <c r="A43" s="19"/>
      <c r="B43" s="5"/>
      <c r="C43" s="11"/>
      <c r="D43" s="5"/>
      <c r="E43" s="5"/>
      <c r="F43" s="5"/>
      <c r="G43" s="5"/>
      <c r="H43" s="5"/>
      <c r="I43" s="5"/>
      <c r="J43" s="5"/>
      <c r="K43" s="5"/>
      <c r="L43" s="5"/>
      <c r="M43" s="5"/>
      <c r="N43" s="5"/>
      <c r="O43" s="5"/>
      <c r="P43" s="5"/>
      <c r="Q43" s="5"/>
      <c r="R43" s="5"/>
      <c r="S43" s="5"/>
      <c r="T43" s="5"/>
      <c r="U43" s="5"/>
      <c r="V43" s="5"/>
      <c r="W43" s="5"/>
      <c r="X43" s="312"/>
      <c r="Y43" s="18"/>
    </row>
    <row r="44" spans="1:25" ht="15" customHeight="1" thickBot="1" x14ac:dyDescent="0.3">
      <c r="A44" s="19"/>
      <c r="B44" s="241" t="s">
        <v>1337</v>
      </c>
      <c r="C44" s="11"/>
      <c r="D44" s="378" t="str">
        <f ca="1">'Event Generator'!F1</f>
        <v>NO EVENT THIS MONTH</v>
      </c>
      <c r="E44" s="379"/>
      <c r="F44" s="379"/>
      <c r="G44" s="379"/>
      <c r="H44" s="379"/>
      <c r="I44" s="379"/>
      <c r="J44" s="379"/>
      <c r="K44" s="379"/>
      <c r="L44" s="380"/>
      <c r="M44" s="5"/>
      <c r="N44" s="378" t="str">
        <f ca="1">'Event Generator'!F2</f>
        <v>A team of archaeologists uncovers and ancient burial site containing some interesting artefacts. They offer 2 Minor Items to the Council for purchase (determine randomly) at 60% of the listed price.</v>
      </c>
      <c r="O44" s="379"/>
      <c r="P44" s="379"/>
      <c r="Q44" s="379"/>
      <c r="R44" s="379"/>
      <c r="S44" s="379"/>
      <c r="T44" s="379"/>
      <c r="U44" s="379"/>
      <c r="V44" s="380"/>
      <c r="W44" s="5"/>
      <c r="X44" s="309" t="s">
        <v>1609</v>
      </c>
      <c r="Y44" s="18"/>
    </row>
    <row r="45" spans="1:25" ht="3" customHeight="1" thickBot="1" x14ac:dyDescent="0.3">
      <c r="A45" s="19"/>
      <c r="B45" s="5"/>
      <c r="C45" s="11"/>
      <c r="D45" s="381"/>
      <c r="E45" s="382"/>
      <c r="F45" s="382"/>
      <c r="G45" s="382"/>
      <c r="H45" s="382"/>
      <c r="I45" s="382"/>
      <c r="J45" s="382"/>
      <c r="K45" s="382"/>
      <c r="L45" s="383"/>
      <c r="M45" s="5"/>
      <c r="N45" s="381"/>
      <c r="O45" s="382"/>
      <c r="P45" s="382"/>
      <c r="Q45" s="382"/>
      <c r="R45" s="382"/>
      <c r="S45" s="382"/>
      <c r="T45" s="382"/>
      <c r="U45" s="382"/>
      <c r="V45" s="383"/>
      <c r="W45" s="5"/>
      <c r="X45" s="130"/>
      <c r="Y45" s="18"/>
    </row>
    <row r="46" spans="1:25" ht="15.75" thickBot="1" x14ac:dyDescent="0.3">
      <c r="A46" s="19"/>
      <c r="B46" s="242" t="str">
        <f>CONCATENATE("Cities: ",IF(Kingdom!D2&lt;&gt;"",VLOOKUP($J$4,'Drop Down'!$M$3:$S$8,3),"-"))</f>
        <v>Cities: 1</v>
      </c>
      <c r="C46" s="11"/>
      <c r="D46" s="381"/>
      <c r="E46" s="382"/>
      <c r="F46" s="382"/>
      <c r="G46" s="382"/>
      <c r="H46" s="382"/>
      <c r="I46" s="382"/>
      <c r="J46" s="382"/>
      <c r="K46" s="382"/>
      <c r="L46" s="383"/>
      <c r="M46" s="5"/>
      <c r="N46" s="381"/>
      <c r="O46" s="382"/>
      <c r="P46" s="382"/>
      <c r="Q46" s="382"/>
      <c r="R46" s="382"/>
      <c r="S46" s="382"/>
      <c r="T46" s="382"/>
      <c r="U46" s="382"/>
      <c r="V46" s="383"/>
      <c r="W46" s="5"/>
      <c r="X46" s="32" t="s">
        <v>1617</v>
      </c>
      <c r="Y46" s="18"/>
    </row>
    <row r="47" spans="1:25" ht="3" customHeight="1" thickBot="1" x14ac:dyDescent="0.3">
      <c r="A47" s="19"/>
      <c r="B47" s="5"/>
      <c r="C47" s="11"/>
      <c r="D47" s="381"/>
      <c r="E47" s="382"/>
      <c r="F47" s="382"/>
      <c r="G47" s="382"/>
      <c r="H47" s="382"/>
      <c r="I47" s="382"/>
      <c r="J47" s="382"/>
      <c r="K47" s="382"/>
      <c r="L47" s="383"/>
      <c r="M47" s="5"/>
      <c r="N47" s="381"/>
      <c r="O47" s="382"/>
      <c r="P47" s="382"/>
      <c r="Q47" s="382"/>
      <c r="R47" s="382"/>
      <c r="S47" s="382"/>
      <c r="T47" s="382"/>
      <c r="U47" s="382"/>
      <c r="V47" s="383"/>
      <c r="W47" s="5"/>
      <c r="X47" s="139"/>
      <c r="Y47" s="18"/>
    </row>
    <row r="48" spans="1:25" s="5" customFormat="1" ht="15.75" thickBot="1" x14ac:dyDescent="0.3">
      <c r="A48" s="19"/>
      <c r="B48" s="242" t="str">
        <f>CONCATENATE("Build: ",IF(Kingdom!D2&lt;&gt;"",VLOOKUP($J$4,'Drop Down'!$M$3:$S$8,4),"-"))</f>
        <v>Build: 1</v>
      </c>
      <c r="C48" s="11"/>
      <c r="D48" s="381"/>
      <c r="E48" s="382"/>
      <c r="F48" s="382"/>
      <c r="G48" s="382"/>
      <c r="H48" s="382"/>
      <c r="I48" s="382"/>
      <c r="J48" s="382"/>
      <c r="K48" s="382"/>
      <c r="L48" s="383"/>
      <c r="N48" s="381"/>
      <c r="O48" s="382"/>
      <c r="P48" s="382"/>
      <c r="Q48" s="382"/>
      <c r="R48" s="382"/>
      <c r="S48" s="382"/>
      <c r="T48" s="382"/>
      <c r="U48" s="382"/>
      <c r="V48" s="383"/>
      <c r="X48" s="310" t="s">
        <v>1610</v>
      </c>
      <c r="Y48" s="18"/>
    </row>
    <row r="49" spans="1:25" s="5" customFormat="1" ht="3" customHeight="1" thickBot="1" x14ac:dyDescent="0.3">
      <c r="A49" s="19"/>
      <c r="C49" s="11"/>
      <c r="D49" s="381"/>
      <c r="E49" s="382"/>
      <c r="F49" s="382"/>
      <c r="G49" s="382"/>
      <c r="H49" s="382"/>
      <c r="I49" s="382"/>
      <c r="J49" s="382"/>
      <c r="K49" s="382"/>
      <c r="L49" s="383"/>
      <c r="N49" s="381"/>
      <c r="O49" s="382"/>
      <c r="P49" s="382"/>
      <c r="Q49" s="382"/>
      <c r="R49" s="382"/>
      <c r="S49" s="382"/>
      <c r="T49" s="382"/>
      <c r="U49" s="382"/>
      <c r="V49" s="383"/>
      <c r="X49" s="312"/>
      <c r="Y49" s="18"/>
    </row>
    <row r="50" spans="1:25" s="5" customFormat="1" ht="15.75" thickBot="1" x14ac:dyDescent="0.3">
      <c r="A50" s="19"/>
      <c r="B50" s="242" t="str">
        <f>CONCATENATE("Hexes: ",IF(Kingdom!D2&lt;&gt;"",VLOOKUP($J$4,'Drop Down'!$M$3:$S$8,5),"-"))</f>
        <v>Hexes: 1</v>
      </c>
      <c r="C50" s="11"/>
      <c r="D50" s="381"/>
      <c r="E50" s="382"/>
      <c r="F50" s="382"/>
      <c r="G50" s="382"/>
      <c r="H50" s="382"/>
      <c r="I50" s="382"/>
      <c r="J50" s="382"/>
      <c r="K50" s="382"/>
      <c r="L50" s="383"/>
      <c r="N50" s="381"/>
      <c r="O50" s="382"/>
      <c r="P50" s="382"/>
      <c r="Q50" s="382"/>
      <c r="R50" s="382"/>
      <c r="S50" s="382"/>
      <c r="T50" s="382"/>
      <c r="U50" s="382"/>
      <c r="V50" s="383"/>
      <c r="X50" s="310" t="s">
        <v>1611</v>
      </c>
      <c r="Y50" s="18"/>
    </row>
    <row r="51" spans="1:25" s="5" customFormat="1" ht="3" customHeight="1" thickBot="1" x14ac:dyDescent="0.3">
      <c r="A51" s="19"/>
      <c r="C51" s="11"/>
      <c r="D51" s="381"/>
      <c r="E51" s="382"/>
      <c r="F51" s="382"/>
      <c r="G51" s="382"/>
      <c r="H51" s="382"/>
      <c r="I51" s="382"/>
      <c r="J51" s="382"/>
      <c r="K51" s="382"/>
      <c r="L51" s="383"/>
      <c r="N51" s="381"/>
      <c r="O51" s="382"/>
      <c r="P51" s="382"/>
      <c r="Q51" s="382"/>
      <c r="R51" s="382"/>
      <c r="S51" s="382"/>
      <c r="T51" s="382"/>
      <c r="U51" s="382"/>
      <c r="V51" s="383"/>
      <c r="X51" s="312"/>
      <c r="Y51" s="18"/>
    </row>
    <row r="52" spans="1:25" s="5" customFormat="1" ht="15.75" thickBot="1" x14ac:dyDescent="0.3">
      <c r="A52" s="19"/>
      <c r="B52" s="242" t="str">
        <f>CONCATENATE("Roads: ",IF(Kingdom!D2&lt;&gt;"",VLOOKUP($J$4,'Drop Down'!$M$3:$S$8,6),"-"))</f>
        <v>Roads: 1</v>
      </c>
      <c r="C52" s="11"/>
      <c r="D52" s="381"/>
      <c r="E52" s="382"/>
      <c r="F52" s="382"/>
      <c r="G52" s="382"/>
      <c r="H52" s="382"/>
      <c r="I52" s="382"/>
      <c r="J52" s="382"/>
      <c r="K52" s="382"/>
      <c r="L52" s="383"/>
      <c r="N52" s="381"/>
      <c r="O52" s="382"/>
      <c r="P52" s="382"/>
      <c r="Q52" s="382"/>
      <c r="R52" s="382"/>
      <c r="S52" s="382"/>
      <c r="T52" s="382"/>
      <c r="U52" s="382"/>
      <c r="V52" s="383"/>
      <c r="X52" s="310" t="s">
        <v>1612</v>
      </c>
      <c r="Y52" s="18"/>
    </row>
    <row r="53" spans="1:25" s="5" customFormat="1" ht="3" customHeight="1" thickBot="1" x14ac:dyDescent="0.3">
      <c r="A53" s="19"/>
      <c r="C53" s="11"/>
      <c r="D53" s="381"/>
      <c r="E53" s="382"/>
      <c r="F53" s="382"/>
      <c r="G53" s="382"/>
      <c r="H53" s="382"/>
      <c r="I53" s="382"/>
      <c r="J53" s="382"/>
      <c r="K53" s="382"/>
      <c r="L53" s="383"/>
      <c r="N53" s="381"/>
      <c r="O53" s="382"/>
      <c r="P53" s="382"/>
      <c r="Q53" s="382"/>
      <c r="R53" s="382"/>
      <c r="S53" s="382"/>
      <c r="T53" s="382"/>
      <c r="U53" s="382"/>
      <c r="V53" s="383"/>
      <c r="X53" s="312"/>
      <c r="Y53" s="18"/>
    </row>
    <row r="54" spans="1:25" s="5" customFormat="1" ht="15.75" thickBot="1" x14ac:dyDescent="0.3">
      <c r="A54" s="19"/>
      <c r="B54" s="242" t="str">
        <f>CONCATENATE("Farms: ",IF(Kingdom!D2&lt;&gt;"",VLOOKUP($J$4,'Drop Down'!$M$3:$S$8,7),"-"))</f>
        <v>Farms: 1</v>
      </c>
      <c r="C54" s="11"/>
      <c r="D54" s="384"/>
      <c r="E54" s="385"/>
      <c r="F54" s="385"/>
      <c r="G54" s="385"/>
      <c r="H54" s="385"/>
      <c r="I54" s="385"/>
      <c r="J54" s="385"/>
      <c r="K54" s="385"/>
      <c r="L54" s="386"/>
      <c r="N54" s="384"/>
      <c r="O54" s="385"/>
      <c r="P54" s="385"/>
      <c r="Q54" s="385"/>
      <c r="R54" s="385"/>
      <c r="S54" s="385"/>
      <c r="T54" s="385"/>
      <c r="U54" s="385"/>
      <c r="V54" s="386"/>
      <c r="X54" s="310" t="s">
        <v>1613</v>
      </c>
      <c r="Y54" s="18"/>
    </row>
    <row r="55" spans="1:25" s="5" customFormat="1" ht="3" customHeight="1" thickBot="1" x14ac:dyDescent="0.3">
      <c r="A55" s="19"/>
      <c r="C55" s="11"/>
      <c r="H55" s="301"/>
      <c r="I55" s="301"/>
      <c r="J55" s="301"/>
      <c r="K55" s="301"/>
      <c r="L55" s="301"/>
      <c r="M55" s="301"/>
      <c r="N55" s="301"/>
      <c r="O55" s="301"/>
      <c r="P55" s="301"/>
      <c r="Q55" s="301"/>
      <c r="R55" s="301"/>
      <c r="S55" s="301"/>
      <c r="T55" s="301"/>
      <c r="U55" s="301"/>
      <c r="V55" s="301"/>
      <c r="X55" s="312"/>
      <c r="Y55" s="18"/>
    </row>
    <row r="56" spans="1:25" s="11" customFormat="1" ht="15.75" thickBot="1" x14ac:dyDescent="0.3">
      <c r="A56" s="33"/>
      <c r="B56" s="362" t="s">
        <v>1597</v>
      </c>
      <c r="C56" s="363"/>
      <c r="D56" s="363"/>
      <c r="E56" s="363"/>
      <c r="F56" s="364"/>
      <c r="G56" s="26"/>
      <c r="H56" s="302" t="s">
        <v>1581</v>
      </c>
      <c r="I56" s="303"/>
      <c r="J56" s="302" t="s">
        <v>1588</v>
      </c>
      <c r="K56" s="303"/>
      <c r="L56" s="302" t="s">
        <v>1589</v>
      </c>
      <c r="M56" s="303"/>
      <c r="N56" s="302" t="s">
        <v>1590</v>
      </c>
      <c r="O56" s="303"/>
      <c r="P56" s="302" t="s">
        <v>1591</v>
      </c>
      <c r="Q56" s="303"/>
      <c r="R56" s="302" t="s">
        <v>1592</v>
      </c>
      <c r="S56" s="303"/>
      <c r="T56" s="302" t="s">
        <v>58</v>
      </c>
      <c r="U56" s="303"/>
      <c r="V56" s="302" t="s">
        <v>1584</v>
      </c>
      <c r="X56" s="310" t="s">
        <v>1614</v>
      </c>
      <c r="Y56" s="22"/>
    </row>
    <row r="57" spans="1:25" s="5" customFormat="1" ht="3" customHeight="1" thickBot="1" x14ac:dyDescent="0.3">
      <c r="A57" s="19"/>
      <c r="B57" s="365"/>
      <c r="C57" s="366"/>
      <c r="D57" s="366"/>
      <c r="E57" s="366"/>
      <c r="F57" s="367"/>
      <c r="H57" s="297"/>
      <c r="I57" s="296"/>
      <c r="J57" s="297"/>
      <c r="K57" s="297"/>
      <c r="L57" s="297"/>
      <c r="M57" s="297"/>
      <c r="N57" s="297"/>
      <c r="O57" s="297"/>
      <c r="P57" s="297"/>
      <c r="Q57" s="297"/>
      <c r="R57" s="297"/>
      <c r="S57" s="297"/>
      <c r="T57" s="297"/>
      <c r="U57" s="297"/>
      <c r="V57" s="297"/>
      <c r="X57" s="312"/>
      <c r="Y57" s="18"/>
    </row>
    <row r="58" spans="1:25" s="5" customFormat="1" ht="15.75" thickBot="1" x14ac:dyDescent="0.3">
      <c r="A58" s="19"/>
      <c r="B58" s="368"/>
      <c r="C58" s="369"/>
      <c r="D58" s="369"/>
      <c r="E58" s="369"/>
      <c r="F58" s="370"/>
      <c r="H58" s="304" t="s">
        <v>1576</v>
      </c>
      <c r="I58" s="298"/>
      <c r="J58" s="299" t="str">
        <f ca="1">IF($A$28="Spring",VLOOKUP(RANDBETWEEN(-5,2),'Weather Generator'!A2:C24,3),IF($A$28="Summer",VLOOKUP(RANDBETWEEN(-2,5),'Weather Generator'!A2:C24,3),IF($A$28="Autumn",VLOOKUP(RANDBETWEEN(-5,2),'Weather Generator'!A2:C24,3),VLOOKUP(RANDBETWEEN(-8,-1),'Weather Generator'!A2:C24,3))))</f>
        <v>Chilly</v>
      </c>
      <c r="K58" s="300"/>
      <c r="L58" s="299" t="str">
        <f ca="1">VLOOKUP(RANDBETWEEN(0,12),'Weather Generator'!H2:J14,3)</f>
        <v>Hurricane</v>
      </c>
      <c r="M58" s="300"/>
      <c r="N58" s="299" t="str">
        <f ca="1">VLOOKUP(RANDBETWEEN(1,8),'Weather Generator'!L2:M9,2)</f>
        <v>Overcast</v>
      </c>
      <c r="O58" s="300"/>
      <c r="P58" s="299" t="str">
        <f ca="1">VLOOKUP(RANDBETWEEN(1,8),'Weather Generator'!L2:N9,3)</f>
        <v>None</v>
      </c>
      <c r="Q58" s="300"/>
      <c r="R58" s="299" t="str">
        <f ca="1">VLOOKUP(RANDBETWEEN(1,7),'Weather Generator'!L2:O8,4)</f>
        <v>Storm, Lt</v>
      </c>
      <c r="S58" s="300"/>
      <c r="T58" s="299" t="str">
        <f ca="1">IF(RANDBETWEEN(1,100)&lt;25,VLOOKUP(RANDBETWEEN(1,9),'Weather Generator'!L2:P10,5),"None")</f>
        <v>None</v>
      </c>
      <c r="U58" s="300"/>
      <c r="V58" s="299" t="str">
        <f ca="1">VLOOKUP(RANDBETWEEN(1,9),'Weather Generator'!L2:Q7,6)</f>
        <v>All Month</v>
      </c>
      <c r="X58" s="310" t="s">
        <v>1615</v>
      </c>
      <c r="Y58" s="18"/>
    </row>
    <row r="59" spans="1:25" s="5" customFormat="1" ht="3" customHeight="1" thickBot="1" x14ac:dyDescent="0.3">
      <c r="A59" s="34"/>
      <c r="B59" s="4"/>
      <c r="C59" s="28"/>
      <c r="D59" s="4"/>
      <c r="E59" s="4"/>
      <c r="F59" s="4"/>
      <c r="G59" s="4"/>
      <c r="H59" s="4"/>
      <c r="I59" s="4"/>
      <c r="J59" s="4"/>
      <c r="K59" s="4"/>
      <c r="L59" s="4"/>
      <c r="M59" s="4"/>
      <c r="N59" s="4"/>
      <c r="O59" s="4"/>
      <c r="P59" s="4"/>
      <c r="Q59" s="4"/>
      <c r="R59" s="4"/>
      <c r="S59" s="4"/>
      <c r="T59" s="4"/>
      <c r="U59" s="4"/>
      <c r="V59" s="4"/>
      <c r="W59" s="4"/>
      <c r="X59" s="4"/>
      <c r="Y59" s="29"/>
    </row>
    <row r="60" spans="1:25" s="5" customFormat="1" x14ac:dyDescent="0.25">
      <c r="C60" s="11"/>
      <c r="N60" s="10"/>
      <c r="O60" s="10"/>
      <c r="P60" s="10"/>
      <c r="Q60" s="10"/>
      <c r="R60" s="10"/>
    </row>
    <row r="61" spans="1:25" s="5" customFormat="1" ht="3" customHeight="1" x14ac:dyDescent="0.25">
      <c r="C61" s="11"/>
    </row>
    <row r="62" spans="1:25" s="5" customFormat="1" x14ac:dyDescent="0.25">
      <c r="C62" s="11"/>
      <c r="N62" s="10"/>
      <c r="O62" s="10"/>
      <c r="P62" s="10"/>
      <c r="Q62" s="10"/>
      <c r="R62" s="10"/>
    </row>
    <row r="63" spans="1:25" s="5" customFormat="1" ht="3" customHeight="1" x14ac:dyDescent="0.25">
      <c r="C63" s="11"/>
    </row>
    <row r="64" spans="1:25" s="5" customFormat="1" x14ac:dyDescent="0.25">
      <c r="C64" s="11"/>
    </row>
    <row r="65" spans="3:3" s="5" customFormat="1" ht="3" customHeight="1" x14ac:dyDescent="0.25">
      <c r="C65" s="11"/>
    </row>
    <row r="66" spans="3:3" s="5" customFormat="1" x14ac:dyDescent="0.25">
      <c r="C66" s="11"/>
    </row>
    <row r="67" spans="3:3" s="5" customFormat="1" ht="3" customHeight="1" x14ac:dyDescent="0.25">
      <c r="C67" s="11"/>
    </row>
    <row r="68" spans="3:3" s="5" customFormat="1" x14ac:dyDescent="0.25">
      <c r="C68" s="11"/>
    </row>
    <row r="69" spans="3:3" s="5" customFormat="1" x14ac:dyDescent="0.25">
      <c r="C69" s="11"/>
    </row>
    <row r="70" spans="3:3" s="5" customFormat="1" x14ac:dyDescent="0.25">
      <c r="C70" s="11"/>
    </row>
    <row r="71" spans="3:3" s="5" customFormat="1" x14ac:dyDescent="0.25">
      <c r="C71" s="11"/>
    </row>
    <row r="72" spans="3:3" s="5" customFormat="1" x14ac:dyDescent="0.25">
      <c r="C72" s="11"/>
    </row>
    <row r="73" spans="3:3" s="5" customFormat="1" x14ac:dyDescent="0.25">
      <c r="C73" s="11"/>
    </row>
    <row r="74" spans="3:3" s="5" customFormat="1" x14ac:dyDescent="0.25">
      <c r="C74" s="11"/>
    </row>
    <row r="75" spans="3:3" s="5" customFormat="1" x14ac:dyDescent="0.25">
      <c r="C75" s="11"/>
    </row>
    <row r="76" spans="3:3" s="5" customFormat="1" x14ac:dyDescent="0.25">
      <c r="C76" s="11"/>
    </row>
    <row r="77" spans="3:3" s="5" customFormat="1" x14ac:dyDescent="0.25">
      <c r="C77" s="11"/>
    </row>
    <row r="78" spans="3:3" s="5" customFormat="1" x14ac:dyDescent="0.25">
      <c r="C78" s="11"/>
    </row>
    <row r="79" spans="3:3" s="5" customFormat="1" x14ac:dyDescent="0.25">
      <c r="C79" s="11"/>
    </row>
    <row r="80" spans="3:3" s="5" customFormat="1" x14ac:dyDescent="0.25">
      <c r="C80" s="11"/>
    </row>
    <row r="81" spans="3:3" s="5" customFormat="1" x14ac:dyDescent="0.25">
      <c r="C81" s="11"/>
    </row>
    <row r="82" spans="3:3" s="5" customFormat="1" x14ac:dyDescent="0.25">
      <c r="C82" s="11"/>
    </row>
    <row r="83" spans="3:3" s="5" customFormat="1" x14ac:dyDescent="0.25">
      <c r="C83" s="11"/>
    </row>
    <row r="84" spans="3:3" s="5" customFormat="1" x14ac:dyDescent="0.25">
      <c r="C84" s="11"/>
    </row>
    <row r="85" spans="3:3" s="5" customFormat="1" x14ac:dyDescent="0.25">
      <c r="C85" s="11"/>
    </row>
    <row r="86" spans="3:3" s="5" customFormat="1" x14ac:dyDescent="0.25">
      <c r="C86" s="11"/>
    </row>
    <row r="87" spans="3:3" s="5" customFormat="1" x14ac:dyDescent="0.25">
      <c r="C87" s="11"/>
    </row>
    <row r="88" spans="3:3" s="5" customFormat="1" x14ac:dyDescent="0.25">
      <c r="C88" s="11"/>
    </row>
    <row r="89" spans="3:3" s="5" customFormat="1" x14ac:dyDescent="0.25">
      <c r="C89" s="11"/>
    </row>
    <row r="90" spans="3:3" s="5" customFormat="1" x14ac:dyDescent="0.25">
      <c r="C90" s="11"/>
    </row>
    <row r="91" spans="3:3" s="5" customFormat="1" x14ac:dyDescent="0.25">
      <c r="C91" s="11"/>
    </row>
    <row r="92" spans="3:3" s="5" customFormat="1" x14ac:dyDescent="0.25">
      <c r="C92" s="11"/>
    </row>
    <row r="93" spans="3:3" s="5" customFormat="1" x14ac:dyDescent="0.25">
      <c r="C93" s="11"/>
    </row>
    <row r="94" spans="3:3" s="5" customFormat="1" x14ac:dyDescent="0.25">
      <c r="C94" s="11"/>
    </row>
    <row r="95" spans="3:3" s="5" customFormat="1" x14ac:dyDescent="0.25">
      <c r="C95" s="11"/>
    </row>
    <row r="96" spans="3:3" s="5" customFormat="1" x14ac:dyDescent="0.25">
      <c r="C96" s="11"/>
    </row>
    <row r="97" spans="3:3" s="5" customFormat="1" x14ac:dyDescent="0.25">
      <c r="C97" s="11"/>
    </row>
    <row r="98" spans="3:3" s="5" customFormat="1" x14ac:dyDescent="0.25">
      <c r="C98" s="11"/>
    </row>
    <row r="99" spans="3:3" s="5" customFormat="1" x14ac:dyDescent="0.25">
      <c r="C99" s="11"/>
    </row>
    <row r="100" spans="3:3" s="5" customFormat="1" x14ac:dyDescent="0.25">
      <c r="C100" s="11"/>
    </row>
    <row r="101" spans="3:3" s="5" customFormat="1" x14ac:dyDescent="0.25">
      <c r="C101" s="11"/>
    </row>
    <row r="102" spans="3:3" s="5" customFormat="1" x14ac:dyDescent="0.25">
      <c r="C102" s="11"/>
    </row>
    <row r="103" spans="3:3" s="5" customFormat="1" x14ac:dyDescent="0.25">
      <c r="C103" s="11"/>
    </row>
    <row r="104" spans="3:3" s="5" customFormat="1" x14ac:dyDescent="0.25">
      <c r="C104" s="11"/>
    </row>
    <row r="105" spans="3:3" s="5" customFormat="1" x14ac:dyDescent="0.25">
      <c r="C105" s="11"/>
    </row>
    <row r="106" spans="3:3" s="5" customFormat="1" x14ac:dyDescent="0.25">
      <c r="C106" s="11"/>
    </row>
    <row r="107" spans="3:3" s="5" customFormat="1" x14ac:dyDescent="0.25">
      <c r="C107" s="11"/>
    </row>
    <row r="108" spans="3:3" s="5" customFormat="1" x14ac:dyDescent="0.25">
      <c r="C108" s="11"/>
    </row>
    <row r="109" spans="3:3" s="5" customFormat="1" x14ac:dyDescent="0.25">
      <c r="C109" s="11"/>
    </row>
    <row r="110" spans="3:3" s="5" customFormat="1" x14ac:dyDescent="0.25">
      <c r="C110" s="11"/>
    </row>
    <row r="111" spans="3:3" s="5" customFormat="1" x14ac:dyDescent="0.25">
      <c r="C111" s="11"/>
    </row>
    <row r="112" spans="3:3" s="5" customFormat="1" x14ac:dyDescent="0.25">
      <c r="C112" s="11"/>
    </row>
    <row r="113" spans="3:3" s="5" customFormat="1" x14ac:dyDescent="0.25">
      <c r="C113" s="11"/>
    </row>
    <row r="114" spans="3:3" s="5" customFormat="1" x14ac:dyDescent="0.25">
      <c r="C114" s="11"/>
    </row>
    <row r="115" spans="3:3" s="5" customFormat="1" x14ac:dyDescent="0.25">
      <c r="C115" s="11"/>
    </row>
    <row r="116" spans="3:3" s="5" customFormat="1" x14ac:dyDescent="0.25">
      <c r="C116" s="11"/>
    </row>
    <row r="117" spans="3:3" s="5" customFormat="1" x14ac:dyDescent="0.25">
      <c r="C117" s="11"/>
    </row>
    <row r="118" spans="3:3" s="5" customFormat="1" x14ac:dyDescent="0.25">
      <c r="C118" s="11"/>
    </row>
    <row r="119" spans="3:3" s="5" customFormat="1" x14ac:dyDescent="0.25">
      <c r="C119" s="11"/>
    </row>
    <row r="120" spans="3:3" s="5" customFormat="1" x14ac:dyDescent="0.25">
      <c r="C120" s="11"/>
    </row>
    <row r="121" spans="3:3" s="5" customFormat="1" x14ac:dyDescent="0.25">
      <c r="C121" s="11"/>
    </row>
    <row r="122" spans="3:3" s="5" customFormat="1" x14ac:dyDescent="0.25">
      <c r="C122" s="11"/>
    </row>
    <row r="123" spans="3:3" s="5" customFormat="1" x14ac:dyDescent="0.25">
      <c r="C123" s="11"/>
    </row>
    <row r="124" spans="3:3" s="5" customFormat="1" x14ac:dyDescent="0.25">
      <c r="C124" s="11"/>
    </row>
    <row r="125" spans="3:3" s="5" customFormat="1" x14ac:dyDescent="0.25">
      <c r="C125" s="11"/>
    </row>
    <row r="126" spans="3:3" s="5" customFormat="1" x14ac:dyDescent="0.25">
      <c r="C126" s="11"/>
    </row>
    <row r="127" spans="3:3" s="5" customFormat="1" x14ac:dyDescent="0.25">
      <c r="C127" s="11"/>
    </row>
    <row r="128" spans="3:3" s="5" customFormat="1" x14ac:dyDescent="0.25">
      <c r="C128" s="11"/>
    </row>
    <row r="129" spans="3:3" s="5" customFormat="1" x14ac:dyDescent="0.25">
      <c r="C129" s="11"/>
    </row>
    <row r="130" spans="3:3" s="5" customFormat="1" x14ac:dyDescent="0.25">
      <c r="C130" s="11"/>
    </row>
    <row r="131" spans="3:3" s="5" customFormat="1" x14ac:dyDescent="0.25">
      <c r="C131" s="11"/>
    </row>
    <row r="132" spans="3:3" s="5" customFormat="1" x14ac:dyDescent="0.25">
      <c r="C132" s="11"/>
    </row>
    <row r="133" spans="3:3" s="5" customFormat="1" x14ac:dyDescent="0.25">
      <c r="C133" s="11"/>
    </row>
    <row r="134" spans="3:3" s="5" customFormat="1" x14ac:dyDescent="0.25">
      <c r="C134" s="11"/>
    </row>
    <row r="135" spans="3:3" s="5" customFormat="1" x14ac:dyDescent="0.25">
      <c r="C135" s="11"/>
    </row>
    <row r="136" spans="3:3" s="5" customFormat="1" x14ac:dyDescent="0.25">
      <c r="C136" s="11"/>
    </row>
    <row r="137" spans="3:3" s="5" customFormat="1" x14ac:dyDescent="0.25">
      <c r="C137" s="11"/>
    </row>
    <row r="138" spans="3:3" s="5" customFormat="1" x14ac:dyDescent="0.25">
      <c r="C138" s="11"/>
    </row>
    <row r="139" spans="3:3" s="5" customFormat="1" x14ac:dyDescent="0.25">
      <c r="C139" s="11"/>
    </row>
    <row r="140" spans="3:3" s="5" customFormat="1" x14ac:dyDescent="0.25">
      <c r="C140" s="11"/>
    </row>
    <row r="141" spans="3:3" s="5" customFormat="1" x14ac:dyDescent="0.25">
      <c r="C141" s="11"/>
    </row>
  </sheetData>
  <sheetProtection sheet="1" objects="1" scenarios="1" selectLockedCells="1"/>
  <mergeCells count="37">
    <mergeCell ref="X2:X4"/>
    <mergeCell ref="X8:X10"/>
    <mergeCell ref="X14:X16"/>
    <mergeCell ref="T16:V16"/>
    <mergeCell ref="D2:L2"/>
    <mergeCell ref="P2:V2"/>
    <mergeCell ref="D16:F16"/>
    <mergeCell ref="D18:F18"/>
    <mergeCell ref="T4:V4"/>
    <mergeCell ref="B14:L14"/>
    <mergeCell ref="L16:R16"/>
    <mergeCell ref="T18:V18"/>
    <mergeCell ref="D24:F24"/>
    <mergeCell ref="D26:F26"/>
    <mergeCell ref="D28:F28"/>
    <mergeCell ref="D30:F30"/>
    <mergeCell ref="T20:V20"/>
    <mergeCell ref="T24:V24"/>
    <mergeCell ref="D20:F20"/>
    <mergeCell ref="T22:V22"/>
    <mergeCell ref="D22:F22"/>
    <mergeCell ref="L22:N22"/>
    <mergeCell ref="L24:N24"/>
    <mergeCell ref="L32:V32"/>
    <mergeCell ref="B56:F58"/>
    <mergeCell ref="D40:F40"/>
    <mergeCell ref="D42:F42"/>
    <mergeCell ref="L26:V26"/>
    <mergeCell ref="N44:V54"/>
    <mergeCell ref="H42:L42"/>
    <mergeCell ref="N42:P42"/>
    <mergeCell ref="R42:V42"/>
    <mergeCell ref="D44:L54"/>
    <mergeCell ref="D34:F34"/>
    <mergeCell ref="D36:F36"/>
    <mergeCell ref="D38:F38"/>
    <mergeCell ref="D32:F32"/>
  </mergeCells>
  <conditionalFormatting sqref="N36">
    <cfRule type="colorScale" priority="40">
      <colorScale>
        <cfvo type="min"/>
        <cfvo type="max"/>
        <color rgb="FFFF0000"/>
        <color rgb="FFFFEF9C"/>
      </colorScale>
    </cfRule>
    <cfRule type="expression" dxfId="5589" priority="53">
      <formula>$D$26=""</formula>
    </cfRule>
  </conditionalFormatting>
  <conditionalFormatting sqref="N38">
    <cfRule type="expression" dxfId="5588" priority="52">
      <formula>$D$38=""</formula>
    </cfRule>
  </conditionalFormatting>
  <conditionalFormatting sqref="N40">
    <cfRule type="expression" dxfId="5587" priority="51">
      <formula>$D$22=""</formula>
    </cfRule>
  </conditionalFormatting>
  <conditionalFormatting sqref="H42:L42">
    <cfRule type="expression" dxfId="5586" priority="48">
      <formula>LEFT($H$42,2)&lt;&gt;"NO"</formula>
    </cfRule>
  </conditionalFormatting>
  <conditionalFormatting sqref="R42:V42">
    <cfRule type="expression" dxfId="5585" priority="47">
      <formula>LEFT($R$42,2)&lt;&gt;"NO"</formula>
    </cfRule>
  </conditionalFormatting>
  <conditionalFormatting sqref="D4">
    <cfRule type="expression" dxfId="5584" priority="39">
      <formula>OR($D$4="Chaotic",$D$4="Evil")</formula>
    </cfRule>
    <cfRule type="expression" dxfId="5583" priority="43">
      <formula>$D$4="Neutral"</formula>
    </cfRule>
    <cfRule type="expression" dxfId="5582" priority="44">
      <formula>OR($D$4="Lawful",$D$4="Good")</formula>
    </cfRule>
  </conditionalFormatting>
  <conditionalFormatting sqref="F4">
    <cfRule type="expression" dxfId="5581" priority="41">
      <formula>$F$4="Neutral"</formula>
    </cfRule>
  </conditionalFormatting>
  <conditionalFormatting sqref="F4">
    <cfRule type="expression" dxfId="5580" priority="36">
      <formula>OR($F$4="Chaotic",$F$4="Evil")</formula>
    </cfRule>
    <cfRule type="expression" dxfId="5579" priority="38">
      <formula>OR($F$4="Lawful",$F$4="Good")</formula>
    </cfRule>
  </conditionalFormatting>
  <conditionalFormatting sqref="J36">
    <cfRule type="expression" dxfId="5578" priority="33">
      <formula>$J$36="Stability"</formula>
    </cfRule>
    <cfRule type="expression" dxfId="5577" priority="34">
      <formula>$J$36="Economy"</formula>
    </cfRule>
    <cfRule type="expression" dxfId="5576" priority="35">
      <formula>$J$36="Loyalty"</formula>
    </cfRule>
  </conditionalFormatting>
  <conditionalFormatting sqref="J18">
    <cfRule type="expression" dxfId="5575" priority="30">
      <formula>$J$18="Loyalty"</formula>
    </cfRule>
    <cfRule type="expression" dxfId="5574" priority="31">
      <formula>$J$18="Economy"</formula>
    </cfRule>
    <cfRule type="expression" dxfId="5573" priority="32">
      <formula>$J$18="Stability"</formula>
    </cfRule>
  </conditionalFormatting>
  <conditionalFormatting sqref="L18">
    <cfRule type="expression" dxfId="5572" priority="27">
      <formula>$L$18="Loyalty"</formula>
    </cfRule>
    <cfRule type="expression" dxfId="5571" priority="28">
      <formula>$L$18="Economy"</formula>
    </cfRule>
    <cfRule type="expression" dxfId="5570" priority="29">
      <formula>$L$18="Stability"</formula>
    </cfRule>
  </conditionalFormatting>
  <conditionalFormatting sqref="N18">
    <cfRule type="expression" dxfId="5569" priority="18">
      <formula>$N$18="Loyalty"</formula>
    </cfRule>
    <cfRule type="expression" dxfId="5568" priority="19">
      <formula>$N$18="Economy"</formula>
    </cfRule>
    <cfRule type="expression" dxfId="5567" priority="20">
      <formula>$N$18="Stability"</formula>
    </cfRule>
  </conditionalFormatting>
  <conditionalFormatting sqref="J20">
    <cfRule type="expression" dxfId="5566" priority="15">
      <formula>$J$20="Loyalty"</formula>
    </cfRule>
    <cfRule type="expression" dxfId="5565" priority="16">
      <formula>$J$20="Economy"</formula>
    </cfRule>
    <cfRule type="expression" dxfId="5564" priority="17">
      <formula>$J$20="Stability"</formula>
    </cfRule>
  </conditionalFormatting>
  <conditionalFormatting sqref="L20">
    <cfRule type="expression" dxfId="5563" priority="12">
      <formula>$L$20="Loyalty"</formula>
    </cfRule>
    <cfRule type="expression" dxfId="5562" priority="13">
      <formula>$L$20="Economy"</formula>
    </cfRule>
    <cfRule type="expression" dxfId="5561" priority="14">
      <formula>$L$20="Stability"</formula>
    </cfRule>
  </conditionalFormatting>
  <conditionalFormatting sqref="N20">
    <cfRule type="expression" dxfId="5560" priority="9">
      <formula>$N$20="Loyalty"</formula>
    </cfRule>
    <cfRule type="expression" dxfId="5559" priority="10">
      <formula>$N$20="Economy"</formula>
    </cfRule>
    <cfRule type="expression" dxfId="5558" priority="11">
      <formula>$N$20="Stability"</formula>
    </cfRule>
  </conditionalFormatting>
  <conditionalFormatting sqref="X18">
    <cfRule type="expression" dxfId="5557" priority="5" stopIfTrue="1">
      <formula>OR($X$18="Pharast",$X$18="Gozran",$X$18="Desnus")</formula>
    </cfRule>
    <cfRule type="expression" dxfId="5556" priority="6" stopIfTrue="1">
      <formula>OR($X$18="Sarenith",$X$18="Erastus",$X$18="Arodus")</formula>
    </cfRule>
    <cfRule type="expression" dxfId="5555" priority="7" stopIfTrue="1">
      <formula>OR($X$18="Calistril",$X$18="Abadius",$X$18="Kuthona")</formula>
    </cfRule>
    <cfRule type="expression" dxfId="5554" priority="8" stopIfTrue="1">
      <formula>OR($X$18="Rova",$X$18="Lamashan",$X$18="Neth")</formula>
    </cfRule>
  </conditionalFormatting>
  <conditionalFormatting sqref="H58">
    <cfRule type="expression" dxfId="5553" priority="1" stopIfTrue="1">
      <formula>$H$58="Autumn"</formula>
    </cfRule>
    <cfRule type="expression" dxfId="5552" priority="2" stopIfTrue="1">
      <formula>$H$58="Spring"</formula>
    </cfRule>
    <cfRule type="expression" dxfId="5551" priority="3" stopIfTrue="1">
      <formula>$H$58="Summer"</formula>
    </cfRule>
    <cfRule type="expression" dxfId="5550" priority="4" stopIfTrue="1">
      <formula>$H$58="Winter"</formula>
    </cfRule>
  </conditionalFormatting>
  <dataValidations xWindow="387" yWindow="715" count="38">
    <dataValidation type="list" allowBlank="1" showInputMessage="1" showErrorMessage="1" sqref="H58">
      <formula1>Seasons</formula1>
    </dataValidation>
    <dataValidation type="list" allowBlank="1" showInputMessage="1" showErrorMessage="1" sqref="N20">
      <formula1>Attributes</formula1>
    </dataValidation>
    <dataValidation type="list" allowBlank="1" showInputMessage="1" showErrorMessage="1" prompt="Promotions can include recruitments, advertisements, and even propaganda campaigns. " sqref="N36">
      <formula1>Promotion</formula1>
    </dataValidation>
    <dataValidation type="list" allowBlank="1" showInputMessage="1" showErrorMessage="1" prompt="Taxes are payments gathered from a kingdom’s citizens to help pay for Consumption." sqref="N38">
      <formula1>Taxation</formula1>
    </dataValidation>
    <dataValidation type="list" allowBlank="1" showInputMessage="1" showErrorMessage="1" prompt="Festivals, which can also include parades and other public events, can increase the kingdom’s happiness and loyalty." sqref="N40">
      <formula1>Festivals</formula1>
    </dataValidation>
    <dataValidation type="list" allowBlank="1" showInputMessage="1" showErrorMessage="1" sqref="T18:V18 T24:V24 T22:V22 T20:V20">
      <formula1>Events</formula1>
    </dataValidation>
    <dataValidation allowBlank="1" showInputMessage="1" showErrorMessage="1" promptTitle="Ruler" prompt="The ruler is the primary leader of the kingdom. Depending on the size of the kingdom select 1 to 3 attributes for which a bonus is received._x000a_ _x000a_Kingdom Size 1-20   - 1 Attribute_x000a_Kingdom Size 21-80 - 2 Attributes_x000a_Kingdom Size 81+    - 3 Attributes_x000a_" sqref="D18:F18"/>
    <dataValidation allowBlank="1" showInputMessage="1" showErrorMessage="1" promptTitle="Joint Rulership" prompt="Two characters can fill this role if they become married, If so the two rulers can jointly command the kingdom._x000a__x000a_Both rulers apply their Charisma modifiers to the kingdom’s Stability, Economy, and Loyalty checks as appropriate for kingdom size._x000a_" sqref="D20:F20"/>
    <dataValidation allowBlank="1" showInputMessage="1" showErrorMessage="1" prompt="Ruler's Charisma Modifier" sqref="H20 H18"/>
    <dataValidation allowBlank="1" showInputMessage="1" showErrorMessage="1" promptTitle="Councilor" prompt="The councilor ensures that the will of the citizenry is represented." sqref="D22:F22"/>
    <dataValidation allowBlank="1" showInputMessage="1" showErrorMessage="1" promptTitle="General" prompt="The General commands the kingdom’s armies and is a public hero." sqref="D24:F24"/>
    <dataValidation allowBlank="1" showInputMessage="1" showErrorMessage="1" promptTitle="Grand Diplomat" prompt="The Grand Diplomat oversees international relations." sqref="D26:F26"/>
    <dataValidation allowBlank="1" showInputMessage="1" showErrorMessage="1" promptTitle="High Priest" prompt="The high priest guides the kingdom’s religious needs and growth." sqref="D28:F28"/>
    <dataValidation allowBlank="1" showInputMessage="1" showErrorMessage="1" promptTitle="Magister" prompt="The Magister guides a kingdom’s higher learning and magic." sqref="D30:F30"/>
    <dataValidation allowBlank="1" showInputMessage="1" showErrorMessage="1" promptTitle="Marshal" prompt="The Marshal helps organize patrols and enforces justice in rural_x000a_and wilderness regions." sqref="D32:F32"/>
    <dataValidation allowBlank="1" showInputMessage="1" showErrorMessage="1" promptTitle="Royal Assassin" prompt="The Royal Assassin can serve as a public executioner, a headsman,_x000a_or a shadowy assassin." sqref="D34:F34"/>
    <dataValidation allowBlank="1" showInputMessage="1" showErrorMessage="1" promptTitle="Spymaster" prompt="The Spymaster observes the kingdom’s underworld and criminal_x000a_elements and spies on other kingdoms." sqref="D36:F36"/>
    <dataValidation allowBlank="1" showInputMessage="1" showErrorMessage="1" promptTitle="Treasurer" prompt="The Treasurer organizes tax collection, and manages the treasury." sqref="D38:F38"/>
    <dataValidation allowBlank="1" showInputMessage="1" showErrorMessage="1" promptTitle="Warden" prompt="The Warden leads the kingdom’s defense and city guards." sqref="D40:F40"/>
    <dataValidation allowBlank="1" showInputMessage="1" showErrorMessage="1" prompt="Councilor's Charisma or Wisdom Modifier" sqref="H22"/>
    <dataValidation allowBlank="1" showInputMessage="1" showErrorMessage="1" prompt="General's Charisma or Strength Modifier" sqref="H24"/>
    <dataValidation allowBlank="1" showInputMessage="1" showErrorMessage="1" prompt="Grand Diplomat's Charisma or Intelligence Modifier" sqref="H26"/>
    <dataValidation allowBlank="1" showInputMessage="1" showErrorMessage="1" prompt="High Priest's Charisma or Wisdom Modifier" sqref="H28"/>
    <dataValidation allowBlank="1" showInputMessage="1" showErrorMessage="1" prompt="Magister's Charisma or _x000a_Intelligence Modifier" sqref="H30"/>
    <dataValidation allowBlank="1" showInputMessage="1" showErrorMessage="1" prompt="Royal Assassin's Dexterity or Strength Modifier" sqref="H34"/>
    <dataValidation allowBlank="1" showInputMessage="1" showErrorMessage="1" prompt="Marshal's Dexterity or Wisdom Modifier" sqref="H32"/>
    <dataValidation allowBlank="1" showInputMessage="1" showErrorMessage="1" prompt="Spymaster's Dexterity or Intelligence Modifier_x000a_" sqref="H36"/>
    <dataValidation type="list" allowBlank="1" showInputMessage="1" showErrorMessage="1" prompt="Increase Loyalty, Economy, or Stability (Spymaster’s_x000a_choice)" sqref="J36">
      <formula1>Attributes</formula1>
    </dataValidation>
    <dataValidation allowBlank="1" showInputMessage="1" showErrorMessage="1" prompt="Treasurer's Intelligence or Wisdom Modifier" sqref="H38"/>
    <dataValidation allowBlank="1" showInputMessage="1" showErrorMessage="1" prompt="Warden's Constitution or Strength Modifier" sqref="H40"/>
    <dataValidation type="list" allowBlank="1" showInputMessage="1" showErrorMessage="1" prompt="Depending on the size of the kingdom select 1 to 3 attributes for which a bonus is received._x000a_ _x000a_Kingdom Size 1-20   - 1 Attribute_x000a_Kingdom Size 21-80 - 2 Attributes_x000a_Kingdom Size 81+    - 3 Attributes_x000a_" sqref="J18 L20 N18 L18">
      <formula1>Attributes</formula1>
    </dataValidation>
    <dataValidation type="list" allowBlank="1" showInputMessage="1" showErrorMessage="1" prompt="Depending on the size of the kingdom select 1 to 3 attributes for which a bonus is received._x000a_ _x000a_Kingdom Size 1-20   - 1 Attribute_x000a_Kingdom Size 21-80 - 2 Attributes_x000a_Kingdom Size 81+    - 3 Attributes" sqref="J20">
      <formula1>Attributes</formula1>
    </dataValidation>
    <dataValidation type="list" allowBlank="1" showInputMessage="1" showErrorMessage="1" sqref="E4">
      <formula1>Alignment</formula1>
    </dataValidation>
    <dataValidation type="list" allowBlank="1" showInputMessage="1" showErrorMessage="1" promptTitle="Alignment" prompt="Lawful kingdoms gain a +2 bonus on Economy checks._x000a__x000a_Neutral kingdoms gain a +2 bonus on Stability checks_x000a__x000a_Chaotic kingdoms gain a +2 bonus on Loyalty checks._x000a_" sqref="D4">
      <formula1>Alignment</formula1>
    </dataValidation>
    <dataValidation type="list" allowBlank="1" showInputMessage="1" showErrorMessage="1" prompt="Good kingdoms gain a +2 bonus on Loyalty checks. _x000a__x000a_Neutral kingdoms gain a +2 bonus on Stability checks_x000a__x000a_Evil kingdoms gain a +2 bonus on Economy checks. _x000a_" sqref="F4">
      <formula1>Alignment</formula1>
    </dataValidation>
    <dataValidation type="list" allowBlank="1" showInputMessage="1" showErrorMessage="1" sqref="X18">
      <formula1>Months_Year</formula1>
    </dataValidation>
    <dataValidation allowBlank="1" showInputMessage="1" showErrorMessage="1" promptTitle="Kingdom Age" prompt="How old is your Kingdom?_x000a__x000a_Enter in format yy.mm, where yy is years and mm is months._x000a_E.g. 14.11 is 14 years and 11 months." sqref="X12"/>
    <dataValidation allowBlank="1" showInputMessage="1" showErrorMessage="1" promptTitle="Current Year" prompt="The current year of your campaign, in AR reckoning (starts in 4708 AR)." sqref="X6"/>
  </dataValidations>
  <printOptions horizontalCentered="1" verticalCentered="1"/>
  <pageMargins left="0.70866141732283472" right="0.70866141732283472" top="0.74803149606299213" bottom="0.74803149606299213" header="0.31496062992125984" footer="0.31496062992125984"/>
  <pageSetup paperSize="9" scale="81" orientation="landscape" horizontalDpi="4294967294" r:id="rId1"/>
  <headerFooter>
    <oddHeader>&amp;CKingdom Overview</oddHeader>
    <oddFooter>&amp;CPage &amp;P&amp;R&amp;D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67"/>
  <sheetViews>
    <sheetView zoomScaleNormal="100" workbookViewId="0">
      <selection activeCell="E17" sqref="E17"/>
    </sheetView>
  </sheetViews>
  <sheetFormatPr defaultRowHeight="15" x14ac:dyDescent="0.25"/>
  <cols>
    <col min="1" max="1" width="28.7109375" style="271" customWidth="1"/>
    <col min="2" max="2" width="124.140625" style="273" customWidth="1"/>
    <col min="3" max="16384" width="9.140625" style="271"/>
  </cols>
  <sheetData>
    <row r="1" spans="1:2" ht="60" x14ac:dyDescent="0.25">
      <c r="A1" s="271" t="s">
        <v>1278</v>
      </c>
      <c r="B1" s="272" t="s">
        <v>1277</v>
      </c>
    </row>
    <row r="2" spans="1:2" ht="60" x14ac:dyDescent="0.25">
      <c r="A2" s="271" t="s">
        <v>1276</v>
      </c>
      <c r="B2" s="272" t="s">
        <v>1275</v>
      </c>
    </row>
    <row r="3" spans="1:2" ht="60" x14ac:dyDescent="0.25">
      <c r="A3" s="271" t="s">
        <v>1274</v>
      </c>
      <c r="B3" s="272" t="s">
        <v>1273</v>
      </c>
    </row>
    <row r="4" spans="1:2" ht="60" x14ac:dyDescent="0.25">
      <c r="A4" s="271" t="s">
        <v>1272</v>
      </c>
      <c r="B4" s="272" t="s">
        <v>1271</v>
      </c>
    </row>
    <row r="5" spans="1:2" ht="60" x14ac:dyDescent="0.25">
      <c r="A5" s="271" t="s">
        <v>1283</v>
      </c>
      <c r="B5" s="272" t="s">
        <v>1282</v>
      </c>
    </row>
    <row r="6" spans="1:2" ht="45" x14ac:dyDescent="0.25">
      <c r="A6" s="271" t="s">
        <v>1270</v>
      </c>
      <c r="B6" s="272" t="str">
        <f ca="1">CONCATENATE("Despite being the Age of Lost Omens, a sign or portent of unusual veracity appears in your kingdom, with significance to ",VLOOKUP(RANDBETWEEN(1,8),A7:B14,2)," Your kingdom gains 1 Unrest as the populace grows nervous and uneasy about the omen.")</f>
        <v>Despite being the Age of Lost Omens, a sign or portent of unusual veracity appears in your kingdom, with significance to Desna. You gain a +1 on Loyalty checks for every Academy and Monument your kingdom contains (minimum +2) until your next Event Phase.  Your kingdom gains 1 Unrest as the populace grows nervous and uneasy about the omen.</v>
      </c>
    </row>
    <row r="7" spans="1:2" ht="30" x14ac:dyDescent="0.25">
      <c r="A7" s="271">
        <v>1</v>
      </c>
      <c r="B7" s="273" t="s">
        <v>1294</v>
      </c>
    </row>
    <row r="8" spans="1:2" ht="30" x14ac:dyDescent="0.25">
      <c r="A8" s="271">
        <v>2</v>
      </c>
      <c r="B8" s="273" t="s">
        <v>1293</v>
      </c>
    </row>
    <row r="9" spans="1:2" ht="30" x14ac:dyDescent="0.25">
      <c r="A9" s="271">
        <v>3</v>
      </c>
      <c r="B9" s="273" t="s">
        <v>1295</v>
      </c>
    </row>
    <row r="10" spans="1:2" ht="30" x14ac:dyDescent="0.25">
      <c r="A10" s="271">
        <v>4</v>
      </c>
      <c r="B10" s="273" t="s">
        <v>1296</v>
      </c>
    </row>
    <row r="11" spans="1:2" x14ac:dyDescent="0.25">
      <c r="A11" s="271">
        <v>5</v>
      </c>
      <c r="B11" s="273" t="str">
        <f ca="1">CONCATENATE("Gyronna. Lose ", RANDBETWEEN(2,6)," BP, gain another 2 Unrest. ")</f>
        <v xml:space="preserve">Gyronna. Lose 5 BP, gain another 2 Unrest. </v>
      </c>
    </row>
    <row r="12" spans="1:2" x14ac:dyDescent="0.25">
      <c r="A12" s="271">
        <v>6</v>
      </c>
      <c r="B12" s="273" t="str">
        <f ca="1">CONCATENATE("Hanspur. Gain ",RANDBETWEEN(2,6)," BP, gain another 2 Unrest.")</f>
        <v>Hanspur. Gain 3 BP, gain another 2 Unrest.</v>
      </c>
    </row>
    <row r="13" spans="1:2" ht="45" x14ac:dyDescent="0.25">
      <c r="A13" s="271">
        <v>7</v>
      </c>
      <c r="B13" s="272" t="s">
        <v>1297</v>
      </c>
    </row>
    <row r="14" spans="1:2" x14ac:dyDescent="0.25">
      <c r="A14" s="271">
        <v>8</v>
      </c>
      <c r="B14" s="273" t="s">
        <v>1326</v>
      </c>
    </row>
    <row r="15" spans="1:2" ht="75" x14ac:dyDescent="0.25">
      <c r="A15" s="274" t="s">
        <v>1284</v>
      </c>
      <c r="B15" s="272" t="s">
        <v>1269</v>
      </c>
    </row>
    <row r="16" spans="1:2" ht="30" x14ac:dyDescent="0.25">
      <c r="A16" s="271" t="s">
        <v>1268</v>
      </c>
      <c r="B16" s="273" t="s">
        <v>1267</v>
      </c>
    </row>
    <row r="17" spans="1:2" ht="75" x14ac:dyDescent="0.25">
      <c r="A17" s="274" t="s">
        <v>1285</v>
      </c>
      <c r="B17" s="272" t="s">
        <v>1286</v>
      </c>
    </row>
    <row r="18" spans="1:2" ht="60" x14ac:dyDescent="0.25">
      <c r="A18" s="274" t="s">
        <v>1266</v>
      </c>
      <c r="B18" s="272" t="s">
        <v>1265</v>
      </c>
    </row>
    <row r="19" spans="1:2" ht="60" x14ac:dyDescent="0.25">
      <c r="A19" s="274" t="s">
        <v>1298</v>
      </c>
      <c r="B19" s="273" t="str">
        <f ca="1">CONCATENATE("A citizen finds a small cache of treasure, perhaps with connections to Iobaria, Numeria, or previous attempts to colonize the Stolen Lands, including a notable magic item. ",VLOOKUP(RANDBETWEEN(1,20),A20:B23,2))</f>
        <v xml:space="preserve">A citizen finds a small cache of treasure, perhaps with connections to Iobaria, Numeria, or previous attempts to colonize the Stolen Lands, including a notable magic item. Add a temporary medium item slot to one random District until your next Event phase, immediately filling it. This item can be bought by PC’s or sold via the Income Phase as per normal; this slot and any unsold item disappear during the next Event Phase. </v>
      </c>
    </row>
    <row r="20" spans="1:2" ht="30" x14ac:dyDescent="0.25">
      <c r="A20" s="271">
        <v>1</v>
      </c>
      <c r="B20" s="272" t="s">
        <v>1299</v>
      </c>
    </row>
    <row r="21" spans="1:2" ht="30" x14ac:dyDescent="0.25">
      <c r="A21" s="271">
        <v>2</v>
      </c>
      <c r="B21" s="272" t="s">
        <v>1300</v>
      </c>
    </row>
    <row r="22" spans="1:2" ht="30" x14ac:dyDescent="0.25">
      <c r="A22" s="271">
        <v>15</v>
      </c>
      <c r="B22" s="272" t="s">
        <v>1301</v>
      </c>
    </row>
    <row r="23" spans="1:2" ht="30" x14ac:dyDescent="0.25">
      <c r="A23" s="271">
        <v>20</v>
      </c>
      <c r="B23" s="272" t="s">
        <v>1302</v>
      </c>
    </row>
    <row r="24" spans="1:2" ht="45" x14ac:dyDescent="0.25">
      <c r="A24" s="274" t="s">
        <v>1287</v>
      </c>
      <c r="B24" s="272" t="str">
        <f ca="1">CONCATENATE("Animals that are not typically native to The Stolen Lands unexpectedly appear in large numbers. Make a Stability check; if successful, you gain ",RANDBETWEEN(1,4)," BP due to additional trade in furs, leather, and meat. On a failure, reduce your kingdom’s Treasury by ",RANDBETWEEN(1,4)," BP as the animals wreak havoc on local crops and scare off native game.")</f>
        <v>Animals that are not typically native to The Stolen Lands unexpectedly appear in large numbers. Make a Stability check; if successful, you gain 1 BP due to additional trade in furs, leather, and meat. On a failure, reduce your kingdom’s Treasury by 3 BP as the animals wreak havoc on local crops and scare off native game.</v>
      </c>
    </row>
    <row r="25" spans="1:2" ht="60" x14ac:dyDescent="0.25">
      <c r="A25" s="274" t="s">
        <v>1322</v>
      </c>
      <c r="B25" s="272" t="str">
        <f ca="1">CONCATENATE("An infrequent meteor shower (first described by the astronomers of Skywatch) known as the Tears of Curchanus is visible for much of the month. Some sages claim that these falling stars represent the ill-fated battle between the fallen deity"," of beasts and the Mother of Monsters, and for good or for ill, the event has a subtle influence on beasts. ",VLOOKUP(RANDBETWEEN(1,100),A27:B30,2))</f>
        <v xml:space="preserve">An infrequent meteor shower (first described by the astronomers of Skywatch) known as the Tears of Curchanus is visible for much of the month. Some sages claim that these falling stars represent the ill-fated battle between the fallen deity of beasts and the Mother of Monsters, and for good or for ill, the event has a subtle influence on beasts. Tainted Tears: Until your next Event phase, animals, magical beasts, and monstrous humanoids have a +2 profane bonus on attack and damage rolls against non-evil humanoids. </v>
      </c>
    </row>
    <row r="27" spans="1:2" x14ac:dyDescent="0.25">
      <c r="A27" s="271">
        <v>1</v>
      </c>
      <c r="B27" s="271" t="s">
        <v>1323</v>
      </c>
    </row>
    <row r="28" spans="1:2" x14ac:dyDescent="0.25">
      <c r="A28" s="271">
        <v>20</v>
      </c>
      <c r="B28" s="271" t="s">
        <v>1324</v>
      </c>
    </row>
    <row r="29" spans="1:2" x14ac:dyDescent="0.25">
      <c r="A29" s="271">
        <v>81</v>
      </c>
      <c r="B29" s="271" t="s">
        <v>1325</v>
      </c>
    </row>
    <row r="30" spans="1:2" x14ac:dyDescent="0.25">
      <c r="A30" s="271">
        <v>100</v>
      </c>
      <c r="B30" s="274" t="str">
        <f ca="1">CONCATENATE("Starfall: A small meteorite strikes a random claimed or explored hex in your kingdom, bringing with it a small but notable chunk of skymetal. Increase your Treasury by ",'Event Generator'!L10,". The GM may determine the type and worth of the skymetal should the PCs wish to claim it for their own use.")</f>
        <v>Starfall: A small meteorite strikes a random claimed or explored hex in your kingdom, bringing with it a small but notable chunk of skymetal. Increase your Treasury by 7. The GM may determine the type and worth of the skymetal should the PCs wish to claim it for their own use.</v>
      </c>
    </row>
    <row r="32" spans="1:2" ht="105" x14ac:dyDescent="0.25">
      <c r="A32" s="274" t="s">
        <v>1289</v>
      </c>
      <c r="B32" s="272" t="s">
        <v>1288</v>
      </c>
    </row>
    <row r="33" spans="1:2" ht="45" x14ac:dyDescent="0.25">
      <c r="A33" s="274" t="s">
        <v>1290</v>
      </c>
      <c r="B33" s="272" t="str">
        <f ca="1">CONCATENATE("A healthy cache of a rare material of the GM’s choice is found and put to use by local craftsmen, artisans, and smiths."," Increase your kingdom’s Treasury by ",'Event Generator'!M10," and until the next Event Phase, PCs may waive the special material cost of any items commissioned using that special material, up to a limit of ",2000*'Event Generator'!M10," gp.")</f>
        <v>A healthy cache of a rare material of the GM’s choice is found and put to use by local craftsmen, artisans, and smiths. Increase your kingdom’s Treasury by 2 and until the next Event Phase, PCs may waive the special material cost of any items commissioned using that special material, up to a limit of 4000 gp.</v>
      </c>
    </row>
    <row r="34" spans="1:2" ht="45" x14ac:dyDescent="0.25">
      <c r="A34" s="274" t="s">
        <v>1303</v>
      </c>
      <c r="B34" s="272" t="str">
        <f ca="1">CONCATENATE("A ship or wagon is found near a major route, damaged and devoid of crew. No corpses or survivors are found, and no clear sign of what actually happened can be gleaned."," Make a Stability check; a success means you curtail hearsay and gain just 1 Unrest; on a failure you gain ",RANDBETWEEN(2,5)," Unrest.")</f>
        <v>A ship or wagon is found near a major route, damaged and devoid of crew. No corpses or survivors are found, and no clear sign of what actually happened can be gleaned. Make a Stability check; a success means you curtail hearsay and gain just 1 Unrest; on a failure you gain 4 Unrest.</v>
      </c>
    </row>
    <row r="35" spans="1:2" ht="75" x14ac:dyDescent="0.25">
      <c r="A35" s="274" t="s">
        <v>1305</v>
      </c>
      <c r="B35" s="272" t="s">
        <v>1304</v>
      </c>
    </row>
    <row r="36" spans="1:2" ht="30" x14ac:dyDescent="0.25">
      <c r="A36" s="274" t="s">
        <v>1307</v>
      </c>
      <c r="B36" s="273" t="s">
        <v>1306</v>
      </c>
    </row>
    <row r="37" spans="1:2" ht="90" x14ac:dyDescent="0.25">
      <c r="A37" s="271" t="s">
        <v>1264</v>
      </c>
      <c r="B37" s="272" t="s">
        <v>1263</v>
      </c>
    </row>
    <row r="38" spans="1:2" x14ac:dyDescent="0.25">
      <c r="A38" s="271" t="s">
        <v>1262</v>
      </c>
      <c r="B38" s="271" t="str">
        <f ca="1">CONCATENATE("A mine hex (or camp etc) digs into a surplus vein of minerals (or wood etc as appropriate). This provides a bonus of ",RANDBETWEEN(1,4)," BP.")</f>
        <v>A mine hex (or camp etc) digs into a surplus vein of minerals (or wood etc as appropriate). This provides a bonus of 1 BP.</v>
      </c>
    </row>
    <row r="39" spans="1:2" x14ac:dyDescent="0.25">
      <c r="A39" s="271" t="s">
        <v>1261</v>
      </c>
      <c r="B39" s="274" t="s">
        <v>1260</v>
      </c>
    </row>
    <row r="40" spans="1:2" ht="60" x14ac:dyDescent="0.25">
      <c r="A40" s="271" t="s">
        <v>1259</v>
      </c>
      <c r="B40" s="272" t="str">
        <f ca="1">CONCATENATE("Someone who calls the kingdom their hometown became a popular and famous adventurer of sorts. The tales and exploits of the pride and joy of the kingdom reaches the ears of the community and to his intent of his homecoming visit."," Any celebrations (festival) to honor him/her double the benefit. Also increase the treasury by ",RANDBETWEEN(1,4)," as he brings with him coin and items from his travels and introduces them into the economy. Increase Loyalty and Stability checks by +2 until the next event phase.")</f>
        <v>Someone who calls the kingdom their hometown became a popular and famous adventurer of sorts. The tales and exploits of the pride and joy of the kingdom reaches the ears of the community and to his intent of his homecoming visit. Any celebrations (festival) to honor him/her double the benefit. Also increase the treasury by 4 as he brings with him coin and items from his travels and introduces them into the economy. Increase Loyalty and Stability checks by +2 until the next event phase.</v>
      </c>
    </row>
    <row r="41" spans="1:2" ht="30" x14ac:dyDescent="0.25">
      <c r="A41" s="271" t="s">
        <v>1258</v>
      </c>
      <c r="B41" s="272" t="s">
        <v>1257</v>
      </c>
    </row>
    <row r="44" spans="1:2" ht="45" x14ac:dyDescent="0.25">
      <c r="A44" s="271" t="s">
        <v>1256</v>
      </c>
      <c r="B44" s="272" t="s">
        <v>1255</v>
      </c>
    </row>
    <row r="45" spans="1:2" ht="75" x14ac:dyDescent="0.25">
      <c r="A45" s="271" t="s">
        <v>1310</v>
      </c>
      <c r="B45" s="272" t="s">
        <v>1309</v>
      </c>
    </row>
    <row r="46" spans="1:2" ht="45" x14ac:dyDescent="0.25">
      <c r="A46" s="271" t="s">
        <v>1311</v>
      </c>
      <c r="B46" s="272" t="s">
        <v>1308</v>
      </c>
    </row>
    <row r="47" spans="1:2" ht="90" x14ac:dyDescent="0.25">
      <c r="A47" s="271" t="s">
        <v>1327</v>
      </c>
      <c r="B47" s="272" t="str">
        <f ca="1">CONCATENATE("A ghost of a figure from the region’s past appears to haunt travelers. ",VLOOKUP(RANDBETWEEN(1,4),A48:B50,2)," choose a hex with a road or a city district randomly; this is where the ghost appears. ","The kingdom gains a -4 penalty to Stability checks until resolved; after this, the PCs or their agents can attempt to make contact with the spirit or otherwise exorcise it.")</f>
        <v>A ghost of a figure from the region’s past appears to haunt travelers. The spirit is neutral, confused, or simply cannot move on to its eternal reward on its own. It may have unfinished business or simply not understand how to leave. If the spirit is aided (via a Stability check or roleplaying) and crosses over, it blesses the kingdom. Remove the Stability penalty from this event and gain a +2 bonus on all kingdom rolls until your next Event phase.  choose a hex with a road or a city district randomly; this is where the ghost appears. The kingdom gains a -4 penalty to Stability checks until resolved; after this, the PCs or their agents can attempt to make contact with the spirit or otherwise exorcise it.</v>
      </c>
    </row>
    <row r="48" spans="1:2" ht="45" x14ac:dyDescent="0.25">
      <c r="A48" s="271">
        <v>1</v>
      </c>
      <c r="B48" s="272" t="s">
        <v>1328</v>
      </c>
    </row>
    <row r="49" spans="1:2" ht="45" x14ac:dyDescent="0.25">
      <c r="A49" s="271">
        <v>2</v>
      </c>
      <c r="B49" s="272" t="s">
        <v>1329</v>
      </c>
    </row>
    <row r="50" spans="1:2" ht="75" x14ac:dyDescent="0.25">
      <c r="A50" s="271">
        <v>4</v>
      </c>
      <c r="B50" s="272" t="s">
        <v>1330</v>
      </c>
    </row>
    <row r="51" spans="1:2" ht="75" x14ac:dyDescent="0.25">
      <c r="A51" s="271" t="s">
        <v>1280</v>
      </c>
      <c r="B51" s="272" t="str">
        <f ca="1">CONCATENATE("A prominent NPC in one of your cities is revealed to be under foreign influences—this can be as simple as a bribe or a charm effect, or something more sinister such as the NPC being possessed or replaced by a doppelganger."," Make a Stability check (+ Spymaster's modifier); if you succeed by five or more, you successfully defuse the situation; if you succeed by less than five, you smooth over the situation, but lose the NPC’s benefit to your kingdom"," (whether through defection, retirement, death, etc.); if you fail, your kingdom gains ",RANDBETWEEN(1,4)," Unrest and loses the NPC’s benefits. ")</f>
        <v xml:space="preserve">A prominent NPC in one of your cities is revealed to be under foreign influences—this can be as simple as a bribe or a charm effect, or something more sinister such as the NPC being possessed or replaced by a doppelganger. Make a Stability check (+ Spymaster's modifier); if you succeed by five or more, you successfully defuse the situation; if you succeed by less than five, you smooth over the situation, but lose the NPC’s benefit to your kingdom (whether through defection, retirement, death, etc.); if you fail, your kingdom gains 1 Unrest and loses the NPC’s benefits. </v>
      </c>
    </row>
    <row r="55" spans="1:2" ht="75" x14ac:dyDescent="0.25">
      <c r="A55" s="271" t="s">
        <v>1279</v>
      </c>
      <c r="B55" s="272" t="s">
        <v>1254</v>
      </c>
    </row>
    <row r="56" spans="1:2" ht="60" x14ac:dyDescent="0.25">
      <c r="A56" s="271" t="s">
        <v>1281</v>
      </c>
      <c r="B56" s="272" t="str">
        <f ca="1">CONCATENATE("A famous scholar, sage, or theoretical mage of Knowlegde (",VLOOKUP(RANDBETWEEN(1,10),A57:B66,2),") has come to your kingdom to study something of interest to their suitably obscure subdiscipline of knowledge. ","Make a Stability check at a -5 penalty; on a success, the scholar’s fieldwork brings new insight into their art; increase the Kingdom’s Treasury by ",RANDBETWEEN(1,4)," BP. Until your next Event phase, all checks for the Knowledge skill in question made within the borders of your kingdom receive a +2 circumstance bonus.")</f>
        <v>A famous scholar, sage, or theoretical mage of Knowlegde (Nature) has come to your kingdom to study something of interest to their suitably obscure subdiscipline of knowledge. Make a Stability check at a -5 penalty; on a success, the scholar’s fieldwork brings new insight into their art; increase the Kingdom’s Treasury by 1 BP. Until your next Event phase, all checks for the Knowledge skill in question made within the borders of your kingdom receive a +2 circumstance bonus.</v>
      </c>
    </row>
    <row r="57" spans="1:2" x14ac:dyDescent="0.25">
      <c r="A57" s="271">
        <v>1</v>
      </c>
      <c r="B57" s="271" t="s">
        <v>1312</v>
      </c>
    </row>
    <row r="58" spans="1:2" x14ac:dyDescent="0.25">
      <c r="A58" s="271">
        <v>2</v>
      </c>
      <c r="B58" s="271" t="s">
        <v>1313</v>
      </c>
    </row>
    <row r="59" spans="1:2" x14ac:dyDescent="0.25">
      <c r="A59" s="271">
        <v>3</v>
      </c>
      <c r="B59" s="271" t="s">
        <v>1314</v>
      </c>
    </row>
    <row r="60" spans="1:2" x14ac:dyDescent="0.25">
      <c r="A60" s="271">
        <v>4</v>
      </c>
      <c r="B60" s="271" t="s">
        <v>1315</v>
      </c>
    </row>
    <row r="61" spans="1:2" x14ac:dyDescent="0.25">
      <c r="A61" s="271">
        <v>5</v>
      </c>
      <c r="B61" s="271" t="s">
        <v>1316</v>
      </c>
    </row>
    <row r="62" spans="1:2" x14ac:dyDescent="0.25">
      <c r="A62" s="271">
        <v>6</v>
      </c>
      <c r="B62" s="271" t="s">
        <v>1317</v>
      </c>
    </row>
    <row r="63" spans="1:2" x14ac:dyDescent="0.25">
      <c r="A63" s="271">
        <v>7</v>
      </c>
      <c r="B63" s="271" t="s">
        <v>1318</v>
      </c>
    </row>
    <row r="64" spans="1:2" x14ac:dyDescent="0.25">
      <c r="A64" s="271">
        <v>8</v>
      </c>
      <c r="B64" s="271" t="s">
        <v>1319</v>
      </c>
    </row>
    <row r="65" spans="1:2" x14ac:dyDescent="0.25">
      <c r="A65" s="271">
        <v>9</v>
      </c>
      <c r="B65" s="271" t="s">
        <v>1320</v>
      </c>
    </row>
    <row r="66" spans="1:2" x14ac:dyDescent="0.25">
      <c r="A66" s="271">
        <v>10</v>
      </c>
      <c r="B66" s="271" t="s">
        <v>1321</v>
      </c>
    </row>
    <row r="67" spans="1:2" x14ac:dyDescent="0.25">
      <c r="A67" s="27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BQ71"/>
  <sheetViews>
    <sheetView topLeftCell="AF34" zoomScaleNormal="100" zoomScalePageLayoutView="70" workbookViewId="0">
      <selection activeCell="AN40" sqref="AN40"/>
    </sheetView>
  </sheetViews>
  <sheetFormatPr defaultColWidth="9.140625" defaultRowHeight="15" x14ac:dyDescent="0.25"/>
  <cols>
    <col min="1" max="1" width="21.85546875" hidden="1" customWidth="1"/>
    <col min="2" max="5" width="9.140625" hidden="1" customWidth="1"/>
    <col min="6" max="7" width="2.7109375" hidden="1" customWidth="1"/>
    <col min="8" max="9" width="10" hidden="1" customWidth="1"/>
    <col min="10" max="10" width="2.7109375" hidden="1" customWidth="1"/>
    <col min="11" max="12" width="10" hidden="1" customWidth="1"/>
    <col min="13" max="13" width="2.7109375" hidden="1" customWidth="1"/>
    <col min="14" max="15" width="10" hidden="1" customWidth="1"/>
    <col min="16" max="17" width="2.7109375" hidden="1" customWidth="1"/>
    <col min="18" max="18" width="2.85546875" hidden="1" customWidth="1"/>
    <col min="19" max="20" width="2.7109375" hidden="1" customWidth="1"/>
    <col min="21" max="22" width="10" hidden="1" customWidth="1"/>
    <col min="23" max="23" width="2.7109375" hidden="1" customWidth="1"/>
    <col min="24" max="25" width="10" hidden="1" customWidth="1"/>
    <col min="26" max="26" width="2.7109375" hidden="1" customWidth="1"/>
    <col min="27" max="28" width="10" hidden="1" customWidth="1"/>
    <col min="29" max="30" width="2.7109375" hidden="1" customWidth="1"/>
    <col min="31" max="31" width="2.85546875" hidden="1" customWidth="1"/>
    <col min="32" max="33" width="2.7109375" customWidth="1"/>
    <col min="34" max="35" width="10" customWidth="1"/>
    <col min="36" max="36" width="2.7109375" customWidth="1"/>
    <col min="37" max="38" width="10" customWidth="1"/>
    <col min="39" max="39" width="2.7109375" customWidth="1"/>
    <col min="40" max="41" width="10" customWidth="1"/>
    <col min="42" max="43" width="2.7109375" customWidth="1"/>
    <col min="44" max="44" width="2.85546875" hidden="1" customWidth="1"/>
    <col min="45" max="46" width="2.7109375" hidden="1" customWidth="1"/>
    <col min="47" max="48" width="10" hidden="1" customWidth="1"/>
    <col min="49" max="49" width="2.7109375" hidden="1" customWidth="1"/>
    <col min="50" max="51" width="10" hidden="1" customWidth="1"/>
    <col min="52" max="52" width="2.7109375" hidden="1" customWidth="1"/>
    <col min="53" max="54" width="10" hidden="1" customWidth="1"/>
    <col min="55" max="56" width="2.7109375" hidden="1" customWidth="1"/>
    <col min="57" max="57" width="2.85546875" hidden="1" customWidth="1"/>
    <col min="58" max="59" width="2.7109375" hidden="1" customWidth="1"/>
    <col min="60" max="61" width="10" hidden="1" customWidth="1"/>
    <col min="62" max="62" width="2.7109375" hidden="1" customWidth="1"/>
    <col min="63" max="64" width="10" hidden="1" customWidth="1"/>
    <col min="65" max="65" width="2.7109375" hidden="1" customWidth="1"/>
    <col min="66" max="67" width="10" hidden="1" customWidth="1"/>
    <col min="68" max="69" width="2.7109375" hidden="1" customWidth="1"/>
  </cols>
  <sheetData>
    <row r="1" spans="1:69" hidden="1" x14ac:dyDescent="0.25"/>
    <row r="2" spans="1:69" hidden="1" x14ac:dyDescent="0.25"/>
    <row r="3" spans="1:69" hidden="1" x14ac:dyDescent="0.25"/>
    <row r="4" spans="1:69" hidden="1" x14ac:dyDescent="0.25"/>
    <row r="5" spans="1:69" hidden="1" x14ac:dyDescent="0.25"/>
    <row r="6" spans="1:69" hidden="1" x14ac:dyDescent="0.25"/>
    <row r="7" spans="1:69" ht="15.75" hidden="1" thickBot="1" x14ac:dyDescent="0.3"/>
    <row r="8" spans="1:69" ht="15.75" hidden="1" thickBot="1" x14ac:dyDescent="0.3">
      <c r="A8" s="9" t="s">
        <v>1249</v>
      </c>
      <c r="B8" s="51" t="s">
        <v>10</v>
      </c>
      <c r="C8" s="51" t="s">
        <v>1252</v>
      </c>
      <c r="G8" s="448" t="s">
        <v>1251</v>
      </c>
      <c r="H8" s="448"/>
      <c r="I8" s="448"/>
      <c r="J8" s="448"/>
      <c r="K8" s="448"/>
      <c r="L8" s="448"/>
      <c r="M8" s="448"/>
      <c r="N8" s="448"/>
      <c r="O8" s="448"/>
      <c r="P8" s="448"/>
      <c r="T8" s="448" t="s">
        <v>1251</v>
      </c>
      <c r="U8" s="448"/>
      <c r="V8" s="448"/>
      <c r="W8" s="448"/>
      <c r="X8" s="448"/>
      <c r="Y8" s="448"/>
      <c r="Z8" s="448"/>
      <c r="AA8" s="448"/>
      <c r="AB8" s="448"/>
      <c r="AC8" s="448"/>
      <c r="AG8" s="448" t="s">
        <v>1251</v>
      </c>
      <c r="AH8" s="448"/>
      <c r="AI8" s="448"/>
      <c r="AJ8" s="448"/>
      <c r="AK8" s="448"/>
      <c r="AL8" s="448"/>
      <c r="AM8" s="448"/>
      <c r="AN8" s="448"/>
      <c r="AO8" s="448"/>
      <c r="AP8" s="448"/>
      <c r="AT8" s="448" t="s">
        <v>1251</v>
      </c>
      <c r="AU8" s="448"/>
      <c r="AV8" s="448"/>
      <c r="AW8" s="448"/>
      <c r="AX8" s="448"/>
      <c r="AY8" s="448"/>
      <c r="AZ8" s="448"/>
      <c r="BA8" s="448"/>
      <c r="BB8" s="448"/>
      <c r="BC8" s="448"/>
      <c r="BG8" s="448" t="s">
        <v>1251</v>
      </c>
      <c r="BH8" s="448"/>
      <c r="BI8" s="448"/>
      <c r="BJ8" s="448"/>
      <c r="BK8" s="448"/>
      <c r="BL8" s="448"/>
      <c r="BM8" s="448"/>
      <c r="BN8" s="448"/>
      <c r="BO8" s="448"/>
      <c r="BP8" s="448"/>
    </row>
    <row r="9" spans="1:69" ht="15" hidden="1" customHeight="1" x14ac:dyDescent="0.25">
      <c r="A9" t="s">
        <v>0</v>
      </c>
      <c r="B9" t="s">
        <v>10</v>
      </c>
      <c r="C9" t="s">
        <v>1251</v>
      </c>
      <c r="F9" s="449" t="s">
        <v>1251</v>
      </c>
      <c r="G9" s="263"/>
      <c r="H9" s="451"/>
      <c r="I9" s="451"/>
      <c r="J9" s="451"/>
      <c r="K9" s="451"/>
      <c r="L9" s="451"/>
      <c r="M9" s="451"/>
      <c r="N9" s="451"/>
      <c r="O9" s="451"/>
      <c r="P9" s="263"/>
      <c r="Q9" s="450" t="s">
        <v>1251</v>
      </c>
      <c r="S9" s="449" t="s">
        <v>1251</v>
      </c>
      <c r="T9" s="263"/>
      <c r="U9" s="451"/>
      <c r="V9" s="451"/>
      <c r="W9" s="451"/>
      <c r="X9" s="451"/>
      <c r="Y9" s="451"/>
      <c r="Z9" s="451"/>
      <c r="AA9" s="451"/>
      <c r="AB9" s="451"/>
      <c r="AC9" s="263"/>
      <c r="AD9" s="450" t="s">
        <v>1251</v>
      </c>
      <c r="AF9" s="449" t="s">
        <v>1251</v>
      </c>
      <c r="AG9" s="263"/>
      <c r="AH9" s="451"/>
      <c r="AI9" s="451"/>
      <c r="AJ9" s="451"/>
      <c r="AK9" s="451"/>
      <c r="AL9" s="451"/>
      <c r="AM9" s="451"/>
      <c r="AN9" s="451"/>
      <c r="AO9" s="451"/>
      <c r="AP9" s="263"/>
      <c r="AQ9" s="450" t="s">
        <v>1251</v>
      </c>
      <c r="AS9" s="449" t="s">
        <v>1251</v>
      </c>
      <c r="AT9" s="263"/>
      <c r="AU9" s="451"/>
      <c r="AV9" s="451"/>
      <c r="AW9" s="451"/>
      <c r="AX9" s="451"/>
      <c r="AY9" s="451"/>
      <c r="AZ9" s="451"/>
      <c r="BA9" s="451"/>
      <c r="BB9" s="451"/>
      <c r="BC9" s="263"/>
      <c r="BD9" s="450" t="s">
        <v>1251</v>
      </c>
      <c r="BF9" s="449" t="s">
        <v>1251</v>
      </c>
      <c r="BG9" s="263"/>
      <c r="BH9" s="451"/>
      <c r="BI9" s="451"/>
      <c r="BJ9" s="451"/>
      <c r="BK9" s="451"/>
      <c r="BL9" s="451"/>
      <c r="BM9" s="451"/>
      <c r="BN9" s="451"/>
      <c r="BO9" s="451"/>
      <c r="BP9" s="263"/>
      <c r="BQ9" s="450" t="s">
        <v>1251</v>
      </c>
    </row>
    <row r="10" spans="1:69" ht="56.85" hidden="1" customHeight="1" x14ac:dyDescent="0.25">
      <c r="A10" t="s">
        <v>1</v>
      </c>
      <c r="C10" t="s">
        <v>1250</v>
      </c>
      <c r="D10" s="264"/>
      <c r="F10" s="449"/>
      <c r="G10" s="452"/>
      <c r="H10" s="265"/>
      <c r="I10" s="266"/>
      <c r="J10" s="263"/>
      <c r="K10" s="265"/>
      <c r="L10" s="266"/>
      <c r="M10" s="263"/>
      <c r="N10" s="265"/>
      <c r="O10" s="266"/>
      <c r="P10" s="453"/>
      <c r="Q10" s="450"/>
      <c r="S10" s="449"/>
      <c r="T10" s="452"/>
      <c r="U10" s="265"/>
      <c r="V10" s="266"/>
      <c r="W10" s="269"/>
      <c r="X10" s="265"/>
      <c r="Y10" s="266"/>
      <c r="Z10" s="269"/>
      <c r="AA10" s="265"/>
      <c r="AB10" s="266"/>
      <c r="AC10" s="453"/>
      <c r="AD10" s="450"/>
      <c r="AF10" s="449"/>
      <c r="AG10" s="452"/>
      <c r="AH10" s="265"/>
      <c r="AI10" s="266"/>
      <c r="AJ10" s="269"/>
      <c r="AK10" s="265"/>
      <c r="AL10" s="266"/>
      <c r="AM10" s="269"/>
      <c r="AN10" s="265"/>
      <c r="AO10" s="266"/>
      <c r="AP10" s="453"/>
      <c r="AQ10" s="450"/>
      <c r="AS10" s="449"/>
      <c r="AT10" s="452"/>
      <c r="AU10" s="265"/>
      <c r="AV10" s="266"/>
      <c r="AW10" s="269"/>
      <c r="AX10" s="265"/>
      <c r="AY10" s="266"/>
      <c r="AZ10" s="269"/>
      <c r="BA10" s="265"/>
      <c r="BB10" s="266"/>
      <c r="BC10" s="453"/>
      <c r="BD10" s="450"/>
      <c r="BF10" s="449"/>
      <c r="BG10" s="452"/>
      <c r="BH10" s="265"/>
      <c r="BI10" s="266"/>
      <c r="BJ10" s="269"/>
      <c r="BK10" s="265"/>
      <c r="BL10" s="266"/>
      <c r="BM10" s="269"/>
      <c r="BN10" s="265"/>
      <c r="BO10" s="266"/>
      <c r="BP10" s="453"/>
      <c r="BQ10" s="450"/>
    </row>
    <row r="11" spans="1:69" ht="56.85" hidden="1" customHeight="1" x14ac:dyDescent="0.25">
      <c r="A11" t="s">
        <v>368</v>
      </c>
      <c r="F11" s="449"/>
      <c r="G11" s="452"/>
      <c r="H11" s="267"/>
      <c r="I11" s="268"/>
      <c r="J11" s="263"/>
      <c r="K11" s="267"/>
      <c r="L11" s="268"/>
      <c r="M11" s="263"/>
      <c r="N11" s="267"/>
      <c r="O11" s="268"/>
      <c r="P11" s="453"/>
      <c r="Q11" s="450"/>
      <c r="S11" s="449"/>
      <c r="T11" s="452"/>
      <c r="U11" s="267"/>
      <c r="V11" s="268"/>
      <c r="W11" s="269"/>
      <c r="X11" s="267"/>
      <c r="Y11" s="268"/>
      <c r="Z11" s="269"/>
      <c r="AA11" s="267"/>
      <c r="AB11" s="268"/>
      <c r="AC11" s="453"/>
      <c r="AD11" s="450"/>
      <c r="AF11" s="449"/>
      <c r="AG11" s="452"/>
      <c r="AH11" s="267"/>
      <c r="AI11" s="268"/>
      <c r="AJ11" s="269"/>
      <c r="AK11" s="267"/>
      <c r="AL11" s="268"/>
      <c r="AM11" s="269"/>
      <c r="AN11" s="267"/>
      <c r="AO11" s="268"/>
      <c r="AP11" s="453"/>
      <c r="AQ11" s="450"/>
      <c r="AS11" s="449"/>
      <c r="AT11" s="452"/>
      <c r="AU11" s="267"/>
      <c r="AV11" s="268"/>
      <c r="AW11" s="269"/>
      <c r="AX11" s="267"/>
      <c r="AY11" s="268"/>
      <c r="AZ11" s="269"/>
      <c r="BA11" s="267"/>
      <c r="BB11" s="268"/>
      <c r="BC11" s="453"/>
      <c r="BD11" s="450"/>
      <c r="BF11" s="449"/>
      <c r="BG11" s="452"/>
      <c r="BH11" s="267"/>
      <c r="BI11" s="268"/>
      <c r="BJ11" s="269"/>
      <c r="BK11" s="267"/>
      <c r="BL11" s="268"/>
      <c r="BM11" s="269"/>
      <c r="BN11" s="267"/>
      <c r="BO11" s="268"/>
      <c r="BP11" s="453"/>
      <c r="BQ11" s="450"/>
    </row>
    <row r="12" spans="1:69" ht="9.9499999999999993" hidden="1" customHeight="1" x14ac:dyDescent="0.25">
      <c r="A12" t="s">
        <v>2</v>
      </c>
      <c r="F12" s="449"/>
      <c r="G12" s="452"/>
      <c r="H12" s="263"/>
      <c r="I12" s="263"/>
      <c r="J12" s="263"/>
      <c r="K12" s="263"/>
      <c r="L12" s="263"/>
      <c r="M12" s="263"/>
      <c r="N12" s="263"/>
      <c r="O12" s="263"/>
      <c r="P12" s="453"/>
      <c r="Q12" s="450"/>
      <c r="S12" s="449"/>
      <c r="T12" s="452"/>
      <c r="U12" s="269"/>
      <c r="V12" s="269"/>
      <c r="W12" s="269"/>
      <c r="X12" s="269"/>
      <c r="Y12" s="269"/>
      <c r="Z12" s="269"/>
      <c r="AA12" s="269"/>
      <c r="AB12" s="269"/>
      <c r="AC12" s="453"/>
      <c r="AD12" s="450"/>
      <c r="AF12" s="449"/>
      <c r="AG12" s="452"/>
      <c r="AH12" s="269"/>
      <c r="AI12" s="269"/>
      <c r="AJ12" s="269"/>
      <c r="AK12" s="269"/>
      <c r="AL12" s="269"/>
      <c r="AM12" s="269"/>
      <c r="AN12" s="269"/>
      <c r="AO12" s="269"/>
      <c r="AP12" s="453"/>
      <c r="AQ12" s="450"/>
      <c r="AS12" s="449"/>
      <c r="AT12" s="452"/>
      <c r="AU12" s="269"/>
      <c r="AV12" s="269"/>
      <c r="AW12" s="269"/>
      <c r="AX12" s="269"/>
      <c r="AY12" s="269"/>
      <c r="AZ12" s="269"/>
      <c r="BA12" s="269"/>
      <c r="BB12" s="269"/>
      <c r="BC12" s="453"/>
      <c r="BD12" s="450"/>
      <c r="BF12" s="449"/>
      <c r="BG12" s="452"/>
      <c r="BH12" s="269"/>
      <c r="BI12" s="269"/>
      <c r="BJ12" s="269"/>
      <c r="BK12" s="269"/>
      <c r="BL12" s="269"/>
      <c r="BM12" s="269"/>
      <c r="BN12" s="269"/>
      <c r="BO12" s="269"/>
      <c r="BP12" s="453"/>
      <c r="BQ12" s="450"/>
    </row>
    <row r="13" spans="1:69" ht="56.85" hidden="1" customHeight="1" x14ac:dyDescent="0.25">
      <c r="A13" t="s">
        <v>2</v>
      </c>
      <c r="F13" s="449"/>
      <c r="G13" s="452"/>
      <c r="H13" s="265"/>
      <c r="I13" s="266"/>
      <c r="J13" s="263"/>
      <c r="K13" s="265"/>
      <c r="L13" s="266"/>
      <c r="M13" s="263"/>
      <c r="N13" s="265"/>
      <c r="O13" s="266"/>
      <c r="P13" s="453"/>
      <c r="Q13" s="450"/>
      <c r="S13" s="449"/>
      <c r="T13" s="452"/>
      <c r="U13" s="265"/>
      <c r="V13" s="266"/>
      <c r="W13" s="269"/>
      <c r="X13" s="265"/>
      <c r="Y13" s="266"/>
      <c r="Z13" s="269"/>
      <c r="AA13" s="265"/>
      <c r="AB13" s="266"/>
      <c r="AC13" s="453"/>
      <c r="AD13" s="450"/>
      <c r="AF13" s="449"/>
      <c r="AG13" s="452"/>
      <c r="AH13" s="265"/>
      <c r="AI13" s="266"/>
      <c r="AJ13" s="269"/>
      <c r="AK13" s="265"/>
      <c r="AL13" s="266"/>
      <c r="AM13" s="269"/>
      <c r="AN13" s="265"/>
      <c r="AO13" s="266"/>
      <c r="AP13" s="453"/>
      <c r="AQ13" s="450"/>
      <c r="AS13" s="449"/>
      <c r="AT13" s="452"/>
      <c r="AU13" s="265"/>
      <c r="AV13" s="266"/>
      <c r="AW13" s="269"/>
      <c r="AX13" s="265"/>
      <c r="AY13" s="266"/>
      <c r="AZ13" s="269"/>
      <c r="BA13" s="265"/>
      <c r="BB13" s="266"/>
      <c r="BC13" s="453"/>
      <c r="BD13" s="450"/>
      <c r="BF13" s="449"/>
      <c r="BG13" s="452"/>
      <c r="BH13" s="265"/>
      <c r="BI13" s="266"/>
      <c r="BJ13" s="269"/>
      <c r="BK13" s="265"/>
      <c r="BL13" s="266"/>
      <c r="BM13" s="269"/>
      <c r="BN13" s="265"/>
      <c r="BO13" s="266"/>
      <c r="BP13" s="453"/>
      <c r="BQ13" s="450"/>
    </row>
    <row r="14" spans="1:69" ht="56.85" hidden="1" customHeight="1" x14ac:dyDescent="0.25">
      <c r="A14" t="s">
        <v>369</v>
      </c>
      <c r="F14" s="449"/>
      <c r="G14" s="452"/>
      <c r="H14" s="267"/>
      <c r="I14" s="268"/>
      <c r="J14" s="263"/>
      <c r="K14" s="267"/>
      <c r="L14" s="268"/>
      <c r="M14" s="263"/>
      <c r="N14" s="267"/>
      <c r="O14" s="268"/>
      <c r="P14" s="453"/>
      <c r="Q14" s="450"/>
      <c r="S14" s="449"/>
      <c r="T14" s="452"/>
      <c r="U14" s="267"/>
      <c r="V14" s="268"/>
      <c r="W14" s="269"/>
      <c r="X14" s="267"/>
      <c r="Y14" s="268"/>
      <c r="Z14" s="269"/>
      <c r="AA14" s="267"/>
      <c r="AB14" s="268"/>
      <c r="AC14" s="453"/>
      <c r="AD14" s="450"/>
      <c r="AF14" s="449"/>
      <c r="AG14" s="452"/>
      <c r="AH14" s="267"/>
      <c r="AI14" s="268"/>
      <c r="AJ14" s="269"/>
      <c r="AK14" s="267"/>
      <c r="AL14" s="268"/>
      <c r="AM14" s="269"/>
      <c r="AN14" s="267"/>
      <c r="AO14" s="268"/>
      <c r="AP14" s="453"/>
      <c r="AQ14" s="450"/>
      <c r="AS14" s="449"/>
      <c r="AT14" s="452"/>
      <c r="AU14" s="267"/>
      <c r="AV14" s="268"/>
      <c r="AW14" s="269"/>
      <c r="AX14" s="267"/>
      <c r="AY14" s="268"/>
      <c r="AZ14" s="269"/>
      <c r="BA14" s="267"/>
      <c r="BB14" s="268"/>
      <c r="BC14" s="453"/>
      <c r="BD14" s="450"/>
      <c r="BF14" s="449"/>
      <c r="BG14" s="452"/>
      <c r="BH14" s="267"/>
      <c r="BI14" s="268"/>
      <c r="BJ14" s="269"/>
      <c r="BK14" s="267"/>
      <c r="BL14" s="268"/>
      <c r="BM14" s="269"/>
      <c r="BN14" s="267"/>
      <c r="BO14" s="268"/>
      <c r="BP14" s="453"/>
      <c r="BQ14" s="450"/>
    </row>
    <row r="15" spans="1:69" ht="9.9499999999999993" hidden="1" customHeight="1" x14ac:dyDescent="0.25">
      <c r="A15" t="s">
        <v>370</v>
      </c>
      <c r="F15" s="449"/>
      <c r="G15" s="452"/>
      <c r="H15" s="263"/>
      <c r="I15" s="263"/>
      <c r="J15" s="263"/>
      <c r="K15" s="263"/>
      <c r="L15" s="263"/>
      <c r="M15" s="263"/>
      <c r="N15" s="263"/>
      <c r="O15" s="263"/>
      <c r="P15" s="453"/>
      <c r="Q15" s="450"/>
      <c r="S15" s="449"/>
      <c r="T15" s="452"/>
      <c r="U15" s="269"/>
      <c r="V15" s="269"/>
      <c r="W15" s="269"/>
      <c r="X15" s="269"/>
      <c r="Y15" s="269"/>
      <c r="Z15" s="269"/>
      <c r="AA15" s="269"/>
      <c r="AB15" s="269"/>
      <c r="AC15" s="453"/>
      <c r="AD15" s="450"/>
      <c r="AF15" s="449"/>
      <c r="AG15" s="452"/>
      <c r="AH15" s="269"/>
      <c r="AI15" s="269"/>
      <c r="AJ15" s="269"/>
      <c r="AK15" s="269"/>
      <c r="AL15" s="269"/>
      <c r="AM15" s="269"/>
      <c r="AN15" s="269"/>
      <c r="AO15" s="269"/>
      <c r="AP15" s="453"/>
      <c r="AQ15" s="450"/>
      <c r="AS15" s="449"/>
      <c r="AT15" s="452"/>
      <c r="AU15" s="269"/>
      <c r="AV15" s="269"/>
      <c r="AW15" s="269"/>
      <c r="AX15" s="269"/>
      <c r="AY15" s="269"/>
      <c r="AZ15" s="269"/>
      <c r="BA15" s="269"/>
      <c r="BB15" s="269"/>
      <c r="BC15" s="453"/>
      <c r="BD15" s="450"/>
      <c r="BF15" s="449"/>
      <c r="BG15" s="452"/>
      <c r="BH15" s="269"/>
      <c r="BI15" s="269"/>
      <c r="BJ15" s="269"/>
      <c r="BK15" s="269"/>
      <c r="BL15" s="269"/>
      <c r="BM15" s="269"/>
      <c r="BN15" s="269"/>
      <c r="BO15" s="269"/>
      <c r="BP15" s="453"/>
      <c r="BQ15" s="450"/>
    </row>
    <row r="16" spans="1:69" ht="56.85" hidden="1" customHeight="1" x14ac:dyDescent="0.25">
      <c r="A16" t="s">
        <v>3</v>
      </c>
      <c r="F16" s="449"/>
      <c r="G16" s="452"/>
      <c r="H16" s="265"/>
      <c r="I16" s="266"/>
      <c r="J16" s="263"/>
      <c r="K16" s="265"/>
      <c r="L16" s="266"/>
      <c r="M16" s="263"/>
      <c r="N16" s="265"/>
      <c r="O16" s="266"/>
      <c r="P16" s="453"/>
      <c r="Q16" s="450"/>
      <c r="S16" s="449"/>
      <c r="T16" s="452"/>
      <c r="U16" s="265"/>
      <c r="V16" s="266"/>
      <c r="W16" s="269"/>
      <c r="X16" s="265"/>
      <c r="Y16" s="266"/>
      <c r="Z16" s="269"/>
      <c r="AA16" s="265"/>
      <c r="AB16" s="266"/>
      <c r="AC16" s="453"/>
      <c r="AD16" s="450"/>
      <c r="AF16" s="449"/>
      <c r="AG16" s="452"/>
      <c r="AH16" s="265"/>
      <c r="AI16" s="266"/>
      <c r="AJ16" s="269"/>
      <c r="AK16" s="265"/>
      <c r="AL16" s="266"/>
      <c r="AM16" s="269"/>
      <c r="AN16" s="265"/>
      <c r="AO16" s="266"/>
      <c r="AP16" s="453"/>
      <c r="AQ16" s="450"/>
      <c r="AS16" s="449"/>
      <c r="AT16" s="452"/>
      <c r="AU16" s="265"/>
      <c r="AV16" s="266"/>
      <c r="AW16" s="269"/>
      <c r="AX16" s="265"/>
      <c r="AY16" s="266"/>
      <c r="AZ16" s="269"/>
      <c r="BA16" s="265"/>
      <c r="BB16" s="266"/>
      <c r="BC16" s="453"/>
      <c r="BD16" s="450"/>
      <c r="BF16" s="449"/>
      <c r="BG16" s="452"/>
      <c r="BH16" s="265"/>
      <c r="BI16" s="266"/>
      <c r="BJ16" s="269"/>
      <c r="BK16" s="265"/>
      <c r="BL16" s="266"/>
      <c r="BM16" s="269"/>
      <c r="BN16" s="265"/>
      <c r="BO16" s="266"/>
      <c r="BP16" s="453"/>
      <c r="BQ16" s="450"/>
    </row>
    <row r="17" spans="1:69" ht="56.85" hidden="1" customHeight="1" x14ac:dyDescent="0.25">
      <c r="A17" t="s">
        <v>4</v>
      </c>
      <c r="F17" s="449"/>
      <c r="G17" s="452"/>
      <c r="H17" s="267"/>
      <c r="I17" s="268"/>
      <c r="J17" s="263"/>
      <c r="K17" s="267"/>
      <c r="L17" s="268"/>
      <c r="M17" s="263"/>
      <c r="N17" s="267"/>
      <c r="O17" s="268"/>
      <c r="P17" s="453"/>
      <c r="Q17" s="450"/>
      <c r="S17" s="449"/>
      <c r="T17" s="452"/>
      <c r="U17" s="267"/>
      <c r="V17" s="268"/>
      <c r="W17" s="269"/>
      <c r="X17" s="267"/>
      <c r="Y17" s="268"/>
      <c r="Z17" s="269"/>
      <c r="AA17" s="267"/>
      <c r="AB17" s="268"/>
      <c r="AC17" s="453"/>
      <c r="AD17" s="450"/>
      <c r="AF17" s="449"/>
      <c r="AG17" s="452"/>
      <c r="AH17" s="267"/>
      <c r="AI17" s="268"/>
      <c r="AJ17" s="269"/>
      <c r="AK17" s="267"/>
      <c r="AL17" s="268"/>
      <c r="AM17" s="269"/>
      <c r="AN17" s="267"/>
      <c r="AO17" s="268"/>
      <c r="AP17" s="453"/>
      <c r="AQ17" s="450"/>
      <c r="AS17" s="449"/>
      <c r="AT17" s="452"/>
      <c r="AU17" s="267"/>
      <c r="AV17" s="268"/>
      <c r="AW17" s="269"/>
      <c r="AX17" s="267"/>
      <c r="AY17" s="268"/>
      <c r="AZ17" s="269"/>
      <c r="BA17" s="267"/>
      <c r="BB17" s="268"/>
      <c r="BC17" s="453"/>
      <c r="BD17" s="450"/>
      <c r="BF17" s="449"/>
      <c r="BG17" s="452"/>
      <c r="BH17" s="267"/>
      <c r="BI17" s="268"/>
      <c r="BJ17" s="269"/>
      <c r="BK17" s="267"/>
      <c r="BL17" s="268"/>
      <c r="BM17" s="269"/>
      <c r="BN17" s="267"/>
      <c r="BO17" s="268"/>
      <c r="BP17" s="453"/>
      <c r="BQ17" s="450"/>
    </row>
    <row r="18" spans="1:69" hidden="1" x14ac:dyDescent="0.25">
      <c r="A18" t="s">
        <v>5</v>
      </c>
      <c r="F18" s="449"/>
      <c r="G18" s="263"/>
      <c r="H18" s="451"/>
      <c r="I18" s="451"/>
      <c r="J18" s="451"/>
      <c r="K18" s="451"/>
      <c r="L18" s="451"/>
      <c r="M18" s="451"/>
      <c r="N18" s="451"/>
      <c r="O18" s="451"/>
      <c r="P18" s="263"/>
      <c r="Q18" s="450"/>
      <c r="S18" s="449"/>
      <c r="T18" s="263"/>
      <c r="U18" s="451"/>
      <c r="V18" s="451"/>
      <c r="W18" s="451"/>
      <c r="X18" s="451"/>
      <c r="Y18" s="451"/>
      <c r="Z18" s="451"/>
      <c r="AA18" s="451"/>
      <c r="AB18" s="451"/>
      <c r="AC18" s="263"/>
      <c r="AD18" s="450"/>
      <c r="AF18" s="449"/>
      <c r="AG18" s="263"/>
      <c r="AH18" s="451"/>
      <c r="AI18" s="451"/>
      <c r="AJ18" s="451"/>
      <c r="AK18" s="451"/>
      <c r="AL18" s="451"/>
      <c r="AM18" s="451"/>
      <c r="AN18" s="451"/>
      <c r="AO18" s="451"/>
      <c r="AP18" s="263"/>
      <c r="AQ18" s="450"/>
      <c r="AS18" s="449"/>
      <c r="AT18" s="263"/>
      <c r="AU18" s="451"/>
      <c r="AV18" s="451"/>
      <c r="AW18" s="451"/>
      <c r="AX18" s="451"/>
      <c r="AY18" s="451"/>
      <c r="AZ18" s="451"/>
      <c r="BA18" s="451"/>
      <c r="BB18" s="451"/>
      <c r="BC18" s="263"/>
      <c r="BD18" s="450"/>
      <c r="BF18" s="449"/>
      <c r="BG18" s="263"/>
      <c r="BH18" s="451"/>
      <c r="BI18" s="451"/>
      <c r="BJ18" s="451"/>
      <c r="BK18" s="451"/>
      <c r="BL18" s="451"/>
      <c r="BM18" s="451"/>
      <c r="BN18" s="451"/>
      <c r="BO18" s="451"/>
      <c r="BP18" s="263"/>
      <c r="BQ18" s="450"/>
    </row>
    <row r="19" spans="1:69" hidden="1" x14ac:dyDescent="0.25">
      <c r="A19" t="s">
        <v>6</v>
      </c>
      <c r="G19" s="448" t="s">
        <v>1251</v>
      </c>
      <c r="H19" s="448"/>
      <c r="I19" s="448"/>
      <c r="J19" s="448"/>
      <c r="K19" s="448"/>
      <c r="L19" s="448"/>
      <c r="M19" s="448"/>
      <c r="N19" s="448"/>
      <c r="O19" s="448"/>
      <c r="P19" s="448"/>
      <c r="T19" s="448" t="s">
        <v>1251</v>
      </c>
      <c r="U19" s="448"/>
      <c r="V19" s="448"/>
      <c r="W19" s="448"/>
      <c r="X19" s="448"/>
      <c r="Y19" s="448"/>
      <c r="Z19" s="448"/>
      <c r="AA19" s="448"/>
      <c r="AB19" s="448"/>
      <c r="AC19" s="448"/>
      <c r="AG19" s="448" t="s">
        <v>1251</v>
      </c>
      <c r="AH19" s="448"/>
      <c r="AI19" s="448"/>
      <c r="AJ19" s="448"/>
      <c r="AK19" s="448"/>
      <c r="AL19" s="448"/>
      <c r="AM19" s="448"/>
      <c r="AN19" s="448"/>
      <c r="AO19" s="448"/>
      <c r="AP19" s="448"/>
      <c r="AT19" s="448" t="s">
        <v>1251</v>
      </c>
      <c r="AU19" s="448"/>
      <c r="AV19" s="448"/>
      <c r="AW19" s="448"/>
      <c r="AX19" s="448"/>
      <c r="AY19" s="448"/>
      <c r="AZ19" s="448"/>
      <c r="BA19" s="448"/>
      <c r="BB19" s="448"/>
      <c r="BC19" s="448"/>
      <c r="BG19" s="448" t="s">
        <v>1251</v>
      </c>
      <c r="BH19" s="448"/>
      <c r="BI19" s="448"/>
      <c r="BJ19" s="448"/>
      <c r="BK19" s="448"/>
      <c r="BL19" s="448"/>
      <c r="BM19" s="448"/>
      <c r="BN19" s="448"/>
      <c r="BO19" s="448"/>
      <c r="BP19" s="448"/>
    </row>
    <row r="20" spans="1:69" hidden="1" x14ac:dyDescent="0.25">
      <c r="A20" t="s">
        <v>371</v>
      </c>
    </row>
    <row r="21" spans="1:69" hidden="1" x14ac:dyDescent="0.25">
      <c r="A21" t="s">
        <v>372</v>
      </c>
      <c r="G21" s="448" t="s">
        <v>1251</v>
      </c>
      <c r="H21" s="448"/>
      <c r="I21" s="448"/>
      <c r="J21" s="448"/>
      <c r="K21" s="448"/>
      <c r="L21" s="448"/>
      <c r="M21" s="448"/>
      <c r="N21" s="448"/>
      <c r="O21" s="448"/>
      <c r="P21" s="448"/>
      <c r="T21" s="448" t="s">
        <v>1251</v>
      </c>
      <c r="U21" s="448"/>
      <c r="V21" s="448"/>
      <c r="W21" s="448"/>
      <c r="X21" s="448"/>
      <c r="Y21" s="448"/>
      <c r="Z21" s="448"/>
      <c r="AA21" s="448"/>
      <c r="AB21" s="448"/>
      <c r="AC21" s="448"/>
      <c r="AG21" s="448" t="s">
        <v>1251</v>
      </c>
      <c r="AH21" s="448"/>
      <c r="AI21" s="448"/>
      <c r="AJ21" s="448"/>
      <c r="AK21" s="448"/>
      <c r="AL21" s="448"/>
      <c r="AM21" s="448"/>
      <c r="AN21" s="448"/>
      <c r="AO21" s="448"/>
      <c r="AP21" s="448"/>
      <c r="AT21" s="448" t="s">
        <v>1251</v>
      </c>
      <c r="AU21" s="448"/>
      <c r="AV21" s="448"/>
      <c r="AW21" s="448"/>
      <c r="AX21" s="448"/>
      <c r="AY21" s="448"/>
      <c r="AZ21" s="448"/>
      <c r="BA21" s="448"/>
      <c r="BB21" s="448"/>
      <c r="BC21" s="448"/>
      <c r="BG21" s="448" t="s">
        <v>1251</v>
      </c>
      <c r="BH21" s="448"/>
      <c r="BI21" s="448"/>
      <c r="BJ21" s="448"/>
      <c r="BK21" s="448"/>
      <c r="BL21" s="448"/>
      <c r="BM21" s="448"/>
      <c r="BN21" s="448"/>
      <c r="BO21" s="448"/>
      <c r="BP21" s="448"/>
    </row>
    <row r="22" spans="1:69" hidden="1" x14ac:dyDescent="0.25">
      <c r="A22" t="s">
        <v>7</v>
      </c>
      <c r="F22" s="449" t="s">
        <v>1251</v>
      </c>
      <c r="G22" s="263"/>
      <c r="H22" s="451"/>
      <c r="I22" s="451"/>
      <c r="J22" s="451"/>
      <c r="K22" s="451"/>
      <c r="L22" s="451"/>
      <c r="M22" s="451"/>
      <c r="N22" s="451"/>
      <c r="O22" s="451"/>
      <c r="P22" s="263"/>
      <c r="Q22" s="450" t="s">
        <v>1251</v>
      </c>
      <c r="S22" s="449" t="s">
        <v>1251</v>
      </c>
      <c r="T22" s="263"/>
      <c r="U22" s="451"/>
      <c r="V22" s="451"/>
      <c r="W22" s="451"/>
      <c r="X22" s="451"/>
      <c r="Y22" s="451"/>
      <c r="Z22" s="451"/>
      <c r="AA22" s="451"/>
      <c r="AB22" s="451"/>
      <c r="AC22" s="263"/>
      <c r="AD22" s="450" t="s">
        <v>1251</v>
      </c>
      <c r="AF22" s="449" t="s">
        <v>1251</v>
      </c>
      <c r="AG22" s="263"/>
      <c r="AH22" s="451"/>
      <c r="AI22" s="451"/>
      <c r="AJ22" s="451"/>
      <c r="AK22" s="451"/>
      <c r="AL22" s="451"/>
      <c r="AM22" s="451"/>
      <c r="AN22" s="451"/>
      <c r="AO22" s="451"/>
      <c r="AP22" s="263"/>
      <c r="AQ22" s="450" t="s">
        <v>1251</v>
      </c>
      <c r="AS22" s="449" t="s">
        <v>1251</v>
      </c>
      <c r="AT22" s="263"/>
      <c r="AU22" s="451"/>
      <c r="AV22" s="451"/>
      <c r="AW22" s="451"/>
      <c r="AX22" s="451"/>
      <c r="AY22" s="451"/>
      <c r="AZ22" s="451"/>
      <c r="BA22" s="451"/>
      <c r="BB22" s="451"/>
      <c r="BC22" s="263"/>
      <c r="BD22" s="450" t="s">
        <v>1251</v>
      </c>
      <c r="BF22" s="449" t="s">
        <v>1251</v>
      </c>
      <c r="BG22" s="263"/>
      <c r="BH22" s="451"/>
      <c r="BI22" s="451"/>
      <c r="BJ22" s="451"/>
      <c r="BK22" s="451"/>
      <c r="BL22" s="451"/>
      <c r="BM22" s="451"/>
      <c r="BN22" s="451"/>
      <c r="BO22" s="451"/>
      <c r="BP22" s="263"/>
      <c r="BQ22" s="450" t="s">
        <v>1251</v>
      </c>
    </row>
    <row r="23" spans="1:69" ht="56.85" hidden="1" customHeight="1" x14ac:dyDescent="0.25">
      <c r="A23" t="s">
        <v>8</v>
      </c>
      <c r="F23" s="449"/>
      <c r="G23" s="452"/>
      <c r="H23" s="265"/>
      <c r="I23" s="266"/>
      <c r="J23" s="269"/>
      <c r="K23" s="265"/>
      <c r="L23" s="266"/>
      <c r="M23" s="269"/>
      <c r="N23" s="265"/>
      <c r="O23" s="266"/>
      <c r="P23" s="453"/>
      <c r="Q23" s="450"/>
      <c r="S23" s="449"/>
      <c r="T23" s="452"/>
      <c r="U23" s="265"/>
      <c r="V23" s="266"/>
      <c r="W23" s="269"/>
      <c r="X23" s="265"/>
      <c r="Y23" s="266"/>
      <c r="Z23" s="269"/>
      <c r="AA23" s="265"/>
      <c r="AB23" s="266"/>
      <c r="AC23" s="453"/>
      <c r="AD23" s="450"/>
      <c r="AF23" s="449"/>
      <c r="AG23" s="452"/>
      <c r="AH23" s="265"/>
      <c r="AI23" s="266"/>
      <c r="AJ23" s="269"/>
      <c r="AK23" s="265"/>
      <c r="AL23" s="266"/>
      <c r="AM23" s="269"/>
      <c r="AN23" s="265"/>
      <c r="AO23" s="266"/>
      <c r="AP23" s="453"/>
      <c r="AQ23" s="450"/>
      <c r="AS23" s="449"/>
      <c r="AT23" s="452"/>
      <c r="AU23" s="265"/>
      <c r="AV23" s="266"/>
      <c r="AW23" s="269"/>
      <c r="AX23" s="265"/>
      <c r="AY23" s="266"/>
      <c r="AZ23" s="269"/>
      <c r="BA23" s="265"/>
      <c r="BB23" s="266"/>
      <c r="BC23" s="453"/>
      <c r="BD23" s="450"/>
      <c r="BF23" s="449"/>
      <c r="BG23" s="452"/>
      <c r="BH23" s="265"/>
      <c r="BI23" s="266"/>
      <c r="BJ23" s="269"/>
      <c r="BK23" s="265"/>
      <c r="BL23" s="266"/>
      <c r="BM23" s="269"/>
      <c r="BN23" s="265"/>
      <c r="BO23" s="266"/>
      <c r="BP23" s="453"/>
      <c r="BQ23" s="450"/>
    </row>
    <row r="24" spans="1:69" ht="56.85" hidden="1" customHeight="1" x14ac:dyDescent="0.25">
      <c r="A24" t="s">
        <v>9</v>
      </c>
      <c r="F24" s="449"/>
      <c r="G24" s="452"/>
      <c r="H24" s="267"/>
      <c r="I24" s="268"/>
      <c r="J24" s="269"/>
      <c r="K24" s="267"/>
      <c r="L24" s="268"/>
      <c r="M24" s="269"/>
      <c r="N24" s="267"/>
      <c r="O24" s="268"/>
      <c r="P24" s="453"/>
      <c r="Q24" s="450"/>
      <c r="S24" s="449"/>
      <c r="T24" s="452"/>
      <c r="U24" s="267"/>
      <c r="V24" s="268"/>
      <c r="W24" s="269"/>
      <c r="X24" s="267"/>
      <c r="Y24" s="268"/>
      <c r="Z24" s="269"/>
      <c r="AA24" s="267"/>
      <c r="AB24" s="268"/>
      <c r="AC24" s="453"/>
      <c r="AD24" s="450"/>
      <c r="AF24" s="449"/>
      <c r="AG24" s="452"/>
      <c r="AH24" s="267"/>
      <c r="AI24" s="268"/>
      <c r="AJ24" s="269"/>
      <c r="AK24" s="267"/>
      <c r="AL24" s="268"/>
      <c r="AM24" s="269"/>
      <c r="AN24" s="267"/>
      <c r="AO24" s="268"/>
      <c r="AP24" s="453"/>
      <c r="AQ24" s="450"/>
      <c r="AS24" s="449"/>
      <c r="AT24" s="452"/>
      <c r="AU24" s="267"/>
      <c r="AV24" s="268"/>
      <c r="AW24" s="269"/>
      <c r="AX24" s="267"/>
      <c r="AY24" s="268"/>
      <c r="AZ24" s="269"/>
      <c r="BA24" s="267"/>
      <c r="BB24" s="268"/>
      <c r="BC24" s="453"/>
      <c r="BD24" s="450"/>
      <c r="BF24" s="449"/>
      <c r="BG24" s="452"/>
      <c r="BH24" s="267"/>
      <c r="BI24" s="268"/>
      <c r="BJ24" s="269"/>
      <c r="BK24" s="267"/>
      <c r="BL24" s="268"/>
      <c r="BM24" s="269"/>
      <c r="BN24" s="267"/>
      <c r="BO24" s="268"/>
      <c r="BP24" s="453"/>
      <c r="BQ24" s="450"/>
    </row>
    <row r="25" spans="1:69" hidden="1" x14ac:dyDescent="0.25">
      <c r="A25" t="s">
        <v>10</v>
      </c>
      <c r="F25" s="449"/>
      <c r="G25" s="452"/>
      <c r="H25" s="269"/>
      <c r="I25" s="269"/>
      <c r="J25" s="269"/>
      <c r="K25" s="269"/>
      <c r="L25" s="269"/>
      <c r="M25" s="269"/>
      <c r="N25" s="269"/>
      <c r="O25" s="269"/>
      <c r="P25" s="453"/>
      <c r="Q25" s="450"/>
      <c r="S25" s="449"/>
      <c r="T25" s="452"/>
      <c r="U25" s="269"/>
      <c r="V25" s="269"/>
      <c r="W25" s="269"/>
      <c r="X25" s="269"/>
      <c r="Y25" s="269"/>
      <c r="Z25" s="269"/>
      <c r="AA25" s="269"/>
      <c r="AB25" s="269"/>
      <c r="AC25" s="453"/>
      <c r="AD25" s="450"/>
      <c r="AF25" s="449"/>
      <c r="AG25" s="452"/>
      <c r="AH25" s="269"/>
      <c r="AI25" s="269"/>
      <c r="AJ25" s="269"/>
      <c r="AK25" s="269"/>
      <c r="AL25" s="269"/>
      <c r="AM25" s="269"/>
      <c r="AN25" s="269"/>
      <c r="AO25" s="269"/>
      <c r="AP25" s="453"/>
      <c r="AQ25" s="450"/>
      <c r="AS25" s="449"/>
      <c r="AT25" s="452"/>
      <c r="AU25" s="269"/>
      <c r="AV25" s="269"/>
      <c r="AW25" s="269"/>
      <c r="AX25" s="269"/>
      <c r="AY25" s="269"/>
      <c r="AZ25" s="269"/>
      <c r="BA25" s="269"/>
      <c r="BB25" s="269"/>
      <c r="BC25" s="453"/>
      <c r="BD25" s="450"/>
      <c r="BF25" s="449"/>
      <c r="BG25" s="452"/>
      <c r="BH25" s="269"/>
      <c r="BI25" s="269"/>
      <c r="BJ25" s="269"/>
      <c r="BK25" s="269"/>
      <c r="BL25" s="269"/>
      <c r="BM25" s="269"/>
      <c r="BN25" s="269"/>
      <c r="BO25" s="269"/>
      <c r="BP25" s="453"/>
      <c r="BQ25" s="450"/>
    </row>
    <row r="26" spans="1:69" ht="56.85" hidden="1" customHeight="1" x14ac:dyDescent="0.25">
      <c r="A26" t="s">
        <v>11</v>
      </c>
      <c r="F26" s="449"/>
      <c r="G26" s="452"/>
      <c r="H26" s="265"/>
      <c r="I26" s="266"/>
      <c r="J26" s="269"/>
      <c r="K26" s="265"/>
      <c r="L26" s="266"/>
      <c r="M26" s="269"/>
      <c r="N26" s="265"/>
      <c r="O26" s="266"/>
      <c r="P26" s="453"/>
      <c r="Q26" s="450"/>
      <c r="S26" s="449"/>
      <c r="T26" s="452"/>
      <c r="U26" s="265"/>
      <c r="V26" s="266"/>
      <c r="W26" s="269"/>
      <c r="X26" s="265"/>
      <c r="Y26" s="266"/>
      <c r="Z26" s="269"/>
      <c r="AA26" s="265"/>
      <c r="AB26" s="266"/>
      <c r="AC26" s="453"/>
      <c r="AD26" s="450"/>
      <c r="AF26" s="449"/>
      <c r="AG26" s="452"/>
      <c r="AH26" s="265"/>
      <c r="AI26" s="266"/>
      <c r="AJ26" s="269"/>
      <c r="AK26" s="265"/>
      <c r="AL26" s="266"/>
      <c r="AM26" s="269"/>
      <c r="AN26" s="265"/>
      <c r="AO26" s="266"/>
      <c r="AP26" s="453"/>
      <c r="AQ26" s="450"/>
      <c r="AS26" s="449"/>
      <c r="AT26" s="452"/>
      <c r="AU26" s="265"/>
      <c r="AV26" s="266"/>
      <c r="AW26" s="269"/>
      <c r="AX26" s="265"/>
      <c r="AY26" s="266"/>
      <c r="AZ26" s="269"/>
      <c r="BA26" s="265"/>
      <c r="BB26" s="266"/>
      <c r="BC26" s="453"/>
      <c r="BD26" s="450"/>
      <c r="BF26" s="449"/>
      <c r="BG26" s="452"/>
      <c r="BH26" s="265"/>
      <c r="BI26" s="266"/>
      <c r="BJ26" s="269"/>
      <c r="BK26" s="265"/>
      <c r="BL26" s="266"/>
      <c r="BM26" s="269"/>
      <c r="BN26" s="265"/>
      <c r="BO26" s="266"/>
      <c r="BP26" s="453"/>
      <c r="BQ26" s="450"/>
    </row>
    <row r="27" spans="1:69" ht="56.85" hidden="1" customHeight="1" x14ac:dyDescent="0.25">
      <c r="A27" t="s">
        <v>12</v>
      </c>
      <c r="F27" s="449"/>
      <c r="G27" s="452"/>
      <c r="H27" s="267"/>
      <c r="I27" s="268"/>
      <c r="J27" s="269"/>
      <c r="K27" s="267"/>
      <c r="L27" s="268"/>
      <c r="M27" s="269"/>
      <c r="N27" s="267"/>
      <c r="O27" s="268"/>
      <c r="P27" s="453"/>
      <c r="Q27" s="450"/>
      <c r="S27" s="449"/>
      <c r="T27" s="452"/>
      <c r="U27" s="267"/>
      <c r="V27" s="268"/>
      <c r="W27" s="269"/>
      <c r="X27" s="267"/>
      <c r="Y27" s="268"/>
      <c r="Z27" s="269"/>
      <c r="AA27" s="267"/>
      <c r="AB27" s="268"/>
      <c r="AC27" s="453"/>
      <c r="AD27" s="450"/>
      <c r="AF27" s="449"/>
      <c r="AG27" s="452"/>
      <c r="AH27" s="267"/>
      <c r="AI27" s="268"/>
      <c r="AJ27" s="269"/>
      <c r="AK27" s="267"/>
      <c r="AL27" s="268"/>
      <c r="AM27" s="269"/>
      <c r="AN27" s="267"/>
      <c r="AO27" s="268"/>
      <c r="AP27" s="453"/>
      <c r="AQ27" s="450"/>
      <c r="AS27" s="449"/>
      <c r="AT27" s="452"/>
      <c r="AU27" s="267"/>
      <c r="AV27" s="268"/>
      <c r="AW27" s="269"/>
      <c r="AX27" s="267"/>
      <c r="AY27" s="268"/>
      <c r="AZ27" s="269"/>
      <c r="BA27" s="267"/>
      <c r="BB27" s="268"/>
      <c r="BC27" s="453"/>
      <c r="BD27" s="450"/>
      <c r="BF27" s="449"/>
      <c r="BG27" s="452"/>
      <c r="BH27" s="267"/>
      <c r="BI27" s="268"/>
      <c r="BJ27" s="269"/>
      <c r="BK27" s="267"/>
      <c r="BL27" s="268"/>
      <c r="BM27" s="269"/>
      <c r="BN27" s="267"/>
      <c r="BO27" s="268"/>
      <c r="BP27" s="453"/>
      <c r="BQ27" s="450"/>
    </row>
    <row r="28" spans="1:69" hidden="1" x14ac:dyDescent="0.25">
      <c r="A28" t="s">
        <v>373</v>
      </c>
      <c r="F28" s="449"/>
      <c r="G28" s="452"/>
      <c r="H28" s="269"/>
      <c r="I28" s="269"/>
      <c r="J28" s="269"/>
      <c r="K28" s="269"/>
      <c r="L28" s="269"/>
      <c r="M28" s="269"/>
      <c r="N28" s="269"/>
      <c r="O28" s="269"/>
      <c r="P28" s="453"/>
      <c r="Q28" s="450"/>
      <c r="S28" s="449"/>
      <c r="T28" s="452"/>
      <c r="U28" s="269"/>
      <c r="V28" s="269"/>
      <c r="W28" s="269"/>
      <c r="X28" s="269"/>
      <c r="Y28" s="269"/>
      <c r="Z28" s="269"/>
      <c r="AA28" s="269"/>
      <c r="AB28" s="269"/>
      <c r="AC28" s="453"/>
      <c r="AD28" s="450"/>
      <c r="AF28" s="449"/>
      <c r="AG28" s="452"/>
      <c r="AH28" s="269"/>
      <c r="AI28" s="269"/>
      <c r="AJ28" s="269"/>
      <c r="AK28" s="269"/>
      <c r="AL28" s="269"/>
      <c r="AM28" s="269"/>
      <c r="AN28" s="269"/>
      <c r="AO28" s="269"/>
      <c r="AP28" s="453"/>
      <c r="AQ28" s="450"/>
      <c r="AS28" s="449"/>
      <c r="AT28" s="452"/>
      <c r="AU28" s="269"/>
      <c r="AV28" s="269"/>
      <c r="AW28" s="269"/>
      <c r="AX28" s="269"/>
      <c r="AY28" s="269"/>
      <c r="AZ28" s="269"/>
      <c r="BA28" s="269"/>
      <c r="BB28" s="269"/>
      <c r="BC28" s="453"/>
      <c r="BD28" s="450"/>
      <c r="BF28" s="449"/>
      <c r="BG28" s="452"/>
      <c r="BH28" s="269"/>
      <c r="BI28" s="269"/>
      <c r="BJ28" s="269"/>
      <c r="BK28" s="269"/>
      <c r="BL28" s="269"/>
      <c r="BM28" s="269"/>
      <c r="BN28" s="269"/>
      <c r="BO28" s="269"/>
      <c r="BP28" s="453"/>
      <c r="BQ28" s="450"/>
    </row>
    <row r="29" spans="1:69" ht="56.85" hidden="1" customHeight="1" x14ac:dyDescent="0.25">
      <c r="A29" t="s">
        <v>13</v>
      </c>
      <c r="F29" s="449"/>
      <c r="G29" s="452"/>
      <c r="H29" s="265"/>
      <c r="I29" s="266"/>
      <c r="J29" s="269"/>
      <c r="K29" s="265"/>
      <c r="L29" s="266"/>
      <c r="M29" s="269"/>
      <c r="N29" s="265"/>
      <c r="O29" s="266"/>
      <c r="P29" s="453"/>
      <c r="Q29" s="450"/>
      <c r="S29" s="449"/>
      <c r="T29" s="452"/>
      <c r="U29" s="265"/>
      <c r="V29" s="266"/>
      <c r="W29" s="269"/>
      <c r="X29" s="265"/>
      <c r="Y29" s="266"/>
      <c r="Z29" s="269"/>
      <c r="AA29" s="265"/>
      <c r="AB29" s="266"/>
      <c r="AC29" s="453"/>
      <c r="AD29" s="450"/>
      <c r="AF29" s="449"/>
      <c r="AG29" s="452"/>
      <c r="AH29" s="265"/>
      <c r="AI29" s="266"/>
      <c r="AJ29" s="269"/>
      <c r="AK29" s="265"/>
      <c r="AL29" s="266"/>
      <c r="AM29" s="269"/>
      <c r="AN29" s="265"/>
      <c r="AO29" s="266"/>
      <c r="AP29" s="453"/>
      <c r="AQ29" s="450"/>
      <c r="AS29" s="449"/>
      <c r="AT29" s="452"/>
      <c r="AU29" s="265"/>
      <c r="AV29" s="266"/>
      <c r="AW29" s="269"/>
      <c r="AX29" s="265"/>
      <c r="AY29" s="266"/>
      <c r="AZ29" s="269"/>
      <c r="BA29" s="265"/>
      <c r="BB29" s="266"/>
      <c r="BC29" s="453"/>
      <c r="BD29" s="450"/>
      <c r="BF29" s="449"/>
      <c r="BG29" s="452"/>
      <c r="BH29" s="265"/>
      <c r="BI29" s="266"/>
      <c r="BJ29" s="269"/>
      <c r="BK29" s="265"/>
      <c r="BL29" s="266"/>
      <c r="BM29" s="269"/>
      <c r="BN29" s="265"/>
      <c r="BO29" s="266"/>
      <c r="BP29" s="453"/>
      <c r="BQ29" s="450"/>
    </row>
    <row r="30" spans="1:69" ht="56.85" hidden="1" customHeight="1" x14ac:dyDescent="0.25">
      <c r="A30" t="s">
        <v>14</v>
      </c>
      <c r="F30" s="449"/>
      <c r="G30" s="452"/>
      <c r="H30" s="267"/>
      <c r="I30" s="268"/>
      <c r="J30" s="269"/>
      <c r="K30" s="267"/>
      <c r="L30" s="268"/>
      <c r="M30" s="269"/>
      <c r="N30" s="267"/>
      <c r="O30" s="268"/>
      <c r="P30" s="453"/>
      <c r="Q30" s="450"/>
      <c r="S30" s="449"/>
      <c r="T30" s="452"/>
      <c r="U30" s="267"/>
      <c r="V30" s="268"/>
      <c r="W30" s="269"/>
      <c r="X30" s="267"/>
      <c r="Y30" s="268"/>
      <c r="Z30" s="269"/>
      <c r="AA30" s="267"/>
      <c r="AB30" s="268"/>
      <c r="AC30" s="453"/>
      <c r="AD30" s="450"/>
      <c r="AF30" s="449"/>
      <c r="AG30" s="452"/>
      <c r="AH30" s="267"/>
      <c r="AI30" s="268"/>
      <c r="AJ30" s="269"/>
      <c r="AK30" s="267"/>
      <c r="AL30" s="268"/>
      <c r="AM30" s="269"/>
      <c r="AN30" s="267"/>
      <c r="AO30" s="268"/>
      <c r="AP30" s="453"/>
      <c r="AQ30" s="450"/>
      <c r="AS30" s="449"/>
      <c r="AT30" s="452"/>
      <c r="AU30" s="267"/>
      <c r="AV30" s="268"/>
      <c r="AW30" s="269"/>
      <c r="AX30" s="267"/>
      <c r="AY30" s="268"/>
      <c r="AZ30" s="269"/>
      <c r="BA30" s="267"/>
      <c r="BB30" s="268"/>
      <c r="BC30" s="453"/>
      <c r="BD30" s="450"/>
      <c r="BF30" s="449"/>
      <c r="BG30" s="452"/>
      <c r="BH30" s="267"/>
      <c r="BI30" s="268"/>
      <c r="BJ30" s="269"/>
      <c r="BK30" s="267"/>
      <c r="BL30" s="268"/>
      <c r="BM30" s="269"/>
      <c r="BN30" s="267"/>
      <c r="BO30" s="268"/>
      <c r="BP30" s="453"/>
      <c r="BQ30" s="450"/>
    </row>
    <row r="31" spans="1:69" hidden="1" x14ac:dyDescent="0.25">
      <c r="A31" t="s">
        <v>15</v>
      </c>
      <c r="F31" s="449"/>
      <c r="G31" s="263"/>
      <c r="H31" s="451"/>
      <c r="I31" s="451"/>
      <c r="J31" s="451"/>
      <c r="K31" s="451"/>
      <c r="L31" s="451"/>
      <c r="M31" s="451"/>
      <c r="N31" s="451"/>
      <c r="O31" s="451"/>
      <c r="P31" s="263"/>
      <c r="Q31" s="450"/>
      <c r="S31" s="449"/>
      <c r="T31" s="263"/>
      <c r="U31" s="451"/>
      <c r="V31" s="451"/>
      <c r="W31" s="451"/>
      <c r="X31" s="451"/>
      <c r="Y31" s="451"/>
      <c r="Z31" s="451"/>
      <c r="AA31" s="451"/>
      <c r="AB31" s="451"/>
      <c r="AC31" s="263"/>
      <c r="AD31" s="450"/>
      <c r="AF31" s="449"/>
      <c r="AG31" s="263"/>
      <c r="AH31" s="451"/>
      <c r="AI31" s="451"/>
      <c r="AJ31" s="451"/>
      <c r="AK31" s="451"/>
      <c r="AL31" s="451"/>
      <c r="AM31" s="451"/>
      <c r="AN31" s="451"/>
      <c r="AO31" s="451"/>
      <c r="AP31" s="263"/>
      <c r="AQ31" s="450"/>
      <c r="AS31" s="449"/>
      <c r="AT31" s="263"/>
      <c r="AU31" s="451"/>
      <c r="AV31" s="451"/>
      <c r="AW31" s="451"/>
      <c r="AX31" s="451"/>
      <c r="AY31" s="451"/>
      <c r="AZ31" s="451"/>
      <c r="BA31" s="451"/>
      <c r="BB31" s="451"/>
      <c r="BC31" s="263"/>
      <c r="BD31" s="450"/>
      <c r="BF31" s="449"/>
      <c r="BG31" s="263"/>
      <c r="BH31" s="451"/>
      <c r="BI31" s="451"/>
      <c r="BJ31" s="451"/>
      <c r="BK31" s="451"/>
      <c r="BL31" s="451"/>
      <c r="BM31" s="451"/>
      <c r="BN31" s="451"/>
      <c r="BO31" s="451"/>
      <c r="BP31" s="263"/>
      <c r="BQ31" s="450"/>
    </row>
    <row r="32" spans="1:69" hidden="1" x14ac:dyDescent="0.25">
      <c r="A32" t="s">
        <v>154</v>
      </c>
      <c r="G32" s="448" t="s">
        <v>1251</v>
      </c>
      <c r="H32" s="448"/>
      <c r="I32" s="448"/>
      <c r="J32" s="448"/>
      <c r="K32" s="448"/>
      <c r="L32" s="448"/>
      <c r="M32" s="448"/>
      <c r="N32" s="448"/>
      <c r="O32" s="448"/>
      <c r="P32" s="448"/>
      <c r="T32" s="448" t="s">
        <v>1251</v>
      </c>
      <c r="U32" s="448"/>
      <c r="V32" s="448"/>
      <c r="W32" s="448"/>
      <c r="X32" s="448"/>
      <c r="Y32" s="448"/>
      <c r="Z32" s="448"/>
      <c r="AA32" s="448"/>
      <c r="AB32" s="448"/>
      <c r="AC32" s="448"/>
      <c r="AG32" s="448" t="s">
        <v>1251</v>
      </c>
      <c r="AH32" s="448"/>
      <c r="AI32" s="448"/>
      <c r="AJ32" s="448"/>
      <c r="AK32" s="448"/>
      <c r="AL32" s="448"/>
      <c r="AM32" s="448"/>
      <c r="AN32" s="448"/>
      <c r="AO32" s="448"/>
      <c r="AP32" s="448"/>
      <c r="AT32" s="448" t="s">
        <v>1251</v>
      </c>
      <c r="AU32" s="448"/>
      <c r="AV32" s="448"/>
      <c r="AW32" s="448"/>
      <c r="AX32" s="448"/>
      <c r="AY32" s="448"/>
      <c r="AZ32" s="448"/>
      <c r="BA32" s="448"/>
      <c r="BB32" s="448"/>
      <c r="BC32" s="448"/>
      <c r="BG32" s="448" t="s">
        <v>1251</v>
      </c>
      <c r="BH32" s="448"/>
      <c r="BI32" s="448"/>
      <c r="BJ32" s="448"/>
      <c r="BK32" s="448"/>
      <c r="BL32" s="448"/>
      <c r="BM32" s="448"/>
      <c r="BN32" s="448"/>
      <c r="BO32" s="448"/>
      <c r="BP32" s="448"/>
    </row>
    <row r="33" spans="1:69" hidden="1" x14ac:dyDescent="0.25">
      <c r="A33" t="s">
        <v>16</v>
      </c>
    </row>
    <row r="34" spans="1:69" x14ac:dyDescent="0.25">
      <c r="A34" t="s">
        <v>17</v>
      </c>
      <c r="G34" s="448" t="s">
        <v>1251</v>
      </c>
      <c r="H34" s="448"/>
      <c r="I34" s="448"/>
      <c r="J34" s="448"/>
      <c r="K34" s="448"/>
      <c r="L34" s="448"/>
      <c r="M34" s="448"/>
      <c r="N34" s="448"/>
      <c r="O34" s="448"/>
      <c r="P34" s="448"/>
      <c r="T34" s="448" t="s">
        <v>1251</v>
      </c>
      <c r="U34" s="448"/>
      <c r="V34" s="448"/>
      <c r="W34" s="448"/>
      <c r="X34" s="448"/>
      <c r="Y34" s="448"/>
      <c r="Z34" s="448"/>
      <c r="AA34" s="448"/>
      <c r="AB34" s="448"/>
      <c r="AC34" s="448"/>
      <c r="AG34" s="448" t="s">
        <v>1251</v>
      </c>
      <c r="AH34" s="448"/>
      <c r="AI34" s="448"/>
      <c r="AJ34" s="448"/>
      <c r="AK34" s="448"/>
      <c r="AL34" s="448"/>
      <c r="AM34" s="448"/>
      <c r="AN34" s="448"/>
      <c r="AO34" s="448"/>
      <c r="AP34" s="448"/>
      <c r="AT34" s="448" t="s">
        <v>1251</v>
      </c>
      <c r="AU34" s="448"/>
      <c r="AV34" s="448"/>
      <c r="AW34" s="448"/>
      <c r="AX34" s="448"/>
      <c r="AY34" s="448"/>
      <c r="AZ34" s="448"/>
      <c r="BA34" s="448"/>
      <c r="BB34" s="448"/>
      <c r="BC34" s="448"/>
      <c r="BG34" s="448" t="s">
        <v>1251</v>
      </c>
      <c r="BH34" s="448"/>
      <c r="BI34" s="448"/>
      <c r="BJ34" s="448"/>
      <c r="BK34" s="448"/>
      <c r="BL34" s="448"/>
      <c r="BM34" s="448"/>
      <c r="BN34" s="448"/>
      <c r="BO34" s="448"/>
      <c r="BP34" s="448"/>
    </row>
    <row r="35" spans="1:69" x14ac:dyDescent="0.25">
      <c r="A35" t="s">
        <v>18</v>
      </c>
      <c r="F35" s="449" t="s">
        <v>1251</v>
      </c>
      <c r="G35" s="263"/>
      <c r="H35" s="451"/>
      <c r="I35" s="451"/>
      <c r="J35" s="451"/>
      <c r="K35" s="451"/>
      <c r="L35" s="451"/>
      <c r="M35" s="451"/>
      <c r="N35" s="451"/>
      <c r="O35" s="451"/>
      <c r="P35" s="263"/>
      <c r="Q35" s="450" t="s">
        <v>1251</v>
      </c>
      <c r="S35" s="449" t="s">
        <v>1251</v>
      </c>
      <c r="T35" s="263"/>
      <c r="U35" s="451"/>
      <c r="V35" s="451"/>
      <c r="W35" s="451"/>
      <c r="X35" s="451"/>
      <c r="Y35" s="451"/>
      <c r="Z35" s="451"/>
      <c r="AA35" s="451"/>
      <c r="AB35" s="451"/>
      <c r="AC35" s="263"/>
      <c r="AD35" s="450" t="s">
        <v>1251</v>
      </c>
      <c r="AF35" s="449" t="s">
        <v>1251</v>
      </c>
      <c r="AG35" s="263"/>
      <c r="AH35" s="451"/>
      <c r="AI35" s="451"/>
      <c r="AJ35" s="451"/>
      <c r="AK35" s="451"/>
      <c r="AL35" s="451"/>
      <c r="AM35" s="451"/>
      <c r="AN35" s="451"/>
      <c r="AO35" s="451"/>
      <c r="AP35" s="263"/>
      <c r="AQ35" s="450" t="s">
        <v>1250</v>
      </c>
      <c r="AS35" s="449" t="s">
        <v>1251</v>
      </c>
      <c r="AT35" s="263"/>
      <c r="AU35" s="451"/>
      <c r="AV35" s="451"/>
      <c r="AW35" s="451"/>
      <c r="AX35" s="451"/>
      <c r="AY35" s="451"/>
      <c r="AZ35" s="451"/>
      <c r="BA35" s="451"/>
      <c r="BB35" s="451"/>
      <c r="BC35" s="263"/>
      <c r="BD35" s="450" t="s">
        <v>1251</v>
      </c>
      <c r="BF35" s="449" t="s">
        <v>1251</v>
      </c>
      <c r="BG35" s="263"/>
      <c r="BH35" s="451"/>
      <c r="BI35" s="451"/>
      <c r="BJ35" s="451"/>
      <c r="BK35" s="451"/>
      <c r="BL35" s="451"/>
      <c r="BM35" s="451"/>
      <c r="BN35" s="451"/>
      <c r="BO35" s="451"/>
      <c r="BP35" s="263"/>
      <c r="BQ35" s="450" t="s">
        <v>1251</v>
      </c>
    </row>
    <row r="36" spans="1:69" ht="56.85" customHeight="1" x14ac:dyDescent="0.25">
      <c r="A36" t="s">
        <v>19</v>
      </c>
      <c r="F36" s="449"/>
      <c r="G36" s="452"/>
      <c r="H36" s="265"/>
      <c r="I36" s="266"/>
      <c r="J36" s="269"/>
      <c r="K36" s="265"/>
      <c r="L36" s="266"/>
      <c r="M36" s="269"/>
      <c r="N36" s="265"/>
      <c r="O36" s="266"/>
      <c r="P36" s="453"/>
      <c r="Q36" s="450"/>
      <c r="S36" s="449"/>
      <c r="T36" s="452"/>
      <c r="U36" s="265"/>
      <c r="V36" s="266"/>
      <c r="W36" s="269"/>
      <c r="X36" s="265"/>
      <c r="Y36" s="266"/>
      <c r="Z36" s="269"/>
      <c r="AA36" s="265"/>
      <c r="AB36" s="266"/>
      <c r="AC36" s="453"/>
      <c r="AD36" s="450"/>
      <c r="AF36" s="449"/>
      <c r="AG36" s="452"/>
      <c r="AH36" s="276" t="s">
        <v>27</v>
      </c>
      <c r="AI36" s="277" t="s">
        <v>27</v>
      </c>
      <c r="AJ36" s="278"/>
      <c r="AK36" s="276" t="s">
        <v>17</v>
      </c>
      <c r="AL36" s="277" t="s">
        <v>21</v>
      </c>
      <c r="AM36" s="278"/>
      <c r="AN36" s="276"/>
      <c r="AO36" s="277"/>
      <c r="AP36" s="453"/>
      <c r="AQ36" s="450"/>
      <c r="AS36" s="449"/>
      <c r="AT36" s="452"/>
      <c r="AU36" s="265"/>
      <c r="AV36" s="266"/>
      <c r="AW36" s="269"/>
      <c r="AX36" s="265"/>
      <c r="AY36" s="266"/>
      <c r="AZ36" s="269"/>
      <c r="BA36" s="265"/>
      <c r="BB36" s="266"/>
      <c r="BC36" s="453"/>
      <c r="BD36" s="450"/>
      <c r="BF36" s="449"/>
      <c r="BG36" s="452"/>
      <c r="BH36" s="265"/>
      <c r="BI36" s="266"/>
      <c r="BJ36" s="269"/>
      <c r="BK36" s="265"/>
      <c r="BL36" s="266"/>
      <c r="BM36" s="269"/>
      <c r="BN36" s="265"/>
      <c r="BO36" s="266"/>
      <c r="BP36" s="453"/>
      <c r="BQ36" s="450"/>
    </row>
    <row r="37" spans="1:69" ht="56.85" customHeight="1" x14ac:dyDescent="0.25">
      <c r="A37" t="s">
        <v>374</v>
      </c>
      <c r="F37" s="449"/>
      <c r="G37" s="452"/>
      <c r="H37" s="267"/>
      <c r="I37" s="268"/>
      <c r="J37" s="269"/>
      <c r="K37" s="267"/>
      <c r="L37" s="268"/>
      <c r="M37" s="269"/>
      <c r="N37" s="267"/>
      <c r="O37" s="268"/>
      <c r="P37" s="453"/>
      <c r="Q37" s="450"/>
      <c r="S37" s="449"/>
      <c r="T37" s="452"/>
      <c r="U37" s="267"/>
      <c r="V37" s="268"/>
      <c r="W37" s="269"/>
      <c r="X37" s="267"/>
      <c r="Y37" s="268"/>
      <c r="Z37" s="269"/>
      <c r="AA37" s="267"/>
      <c r="AB37" s="268"/>
      <c r="AC37" s="453"/>
      <c r="AD37" s="450"/>
      <c r="AF37" s="449"/>
      <c r="AG37" s="452"/>
      <c r="AH37" s="279" t="s">
        <v>12</v>
      </c>
      <c r="AI37" s="280" t="s">
        <v>17</v>
      </c>
      <c r="AJ37" s="278"/>
      <c r="AK37" s="279" t="s">
        <v>370</v>
      </c>
      <c r="AL37" s="280"/>
      <c r="AM37" s="278"/>
      <c r="AN37" s="279"/>
      <c r="AO37" s="280"/>
      <c r="AP37" s="453"/>
      <c r="AQ37" s="450"/>
      <c r="AS37" s="449"/>
      <c r="AT37" s="452"/>
      <c r="AU37" s="267"/>
      <c r="AV37" s="268"/>
      <c r="AW37" s="269"/>
      <c r="AX37" s="267"/>
      <c r="AY37" s="268"/>
      <c r="AZ37" s="269"/>
      <c r="BA37" s="267"/>
      <c r="BB37" s="268"/>
      <c r="BC37" s="453"/>
      <c r="BD37" s="450"/>
      <c r="BF37" s="449"/>
      <c r="BG37" s="452"/>
      <c r="BH37" s="267"/>
      <c r="BI37" s="268"/>
      <c r="BJ37" s="269"/>
      <c r="BK37" s="267"/>
      <c r="BL37" s="268"/>
      <c r="BM37" s="269"/>
      <c r="BN37" s="267"/>
      <c r="BO37" s="268"/>
      <c r="BP37" s="453"/>
      <c r="BQ37" s="450"/>
    </row>
    <row r="38" spans="1:69" x14ac:dyDescent="0.25">
      <c r="A38" t="s">
        <v>20</v>
      </c>
      <c r="F38" s="449"/>
      <c r="G38" s="452"/>
      <c r="H38" s="269"/>
      <c r="I38" s="269"/>
      <c r="J38" s="269"/>
      <c r="K38" s="269"/>
      <c r="L38" s="269"/>
      <c r="M38" s="269"/>
      <c r="N38" s="269"/>
      <c r="O38" s="269"/>
      <c r="P38" s="453"/>
      <c r="Q38" s="450"/>
      <c r="S38" s="449"/>
      <c r="T38" s="452"/>
      <c r="U38" s="269"/>
      <c r="V38" s="269"/>
      <c r="W38" s="269"/>
      <c r="X38" s="269"/>
      <c r="Y38" s="269"/>
      <c r="Z38" s="269"/>
      <c r="AA38" s="269"/>
      <c r="AB38" s="269"/>
      <c r="AC38" s="453"/>
      <c r="AD38" s="450"/>
      <c r="AF38" s="449"/>
      <c r="AG38" s="452"/>
      <c r="AH38" s="278"/>
      <c r="AI38" s="278"/>
      <c r="AJ38" s="278"/>
      <c r="AK38" s="278"/>
      <c r="AL38" s="278"/>
      <c r="AM38" s="278"/>
      <c r="AN38" s="278"/>
      <c r="AO38" s="278"/>
      <c r="AP38" s="453"/>
      <c r="AQ38" s="450"/>
      <c r="AS38" s="449"/>
      <c r="AT38" s="452"/>
      <c r="AU38" s="269"/>
      <c r="AV38" s="269"/>
      <c r="AW38" s="269"/>
      <c r="AX38" s="269"/>
      <c r="AY38" s="269"/>
      <c r="AZ38" s="269"/>
      <c r="BA38" s="269"/>
      <c r="BB38" s="269"/>
      <c r="BC38" s="453"/>
      <c r="BD38" s="450"/>
      <c r="BF38" s="449"/>
      <c r="BG38" s="452"/>
      <c r="BH38" s="269"/>
      <c r="BI38" s="269"/>
      <c r="BJ38" s="269"/>
      <c r="BK38" s="269"/>
      <c r="BL38" s="269"/>
      <c r="BM38" s="269"/>
      <c r="BN38" s="269"/>
      <c r="BO38" s="269"/>
      <c r="BP38" s="453"/>
      <c r="BQ38" s="450"/>
    </row>
    <row r="39" spans="1:69" ht="56.85" customHeight="1" x14ac:dyDescent="0.25">
      <c r="A39" t="s">
        <v>21</v>
      </c>
      <c r="F39" s="449"/>
      <c r="G39" s="452"/>
      <c r="H39" s="265"/>
      <c r="I39" s="266"/>
      <c r="J39" s="269"/>
      <c r="K39" s="265"/>
      <c r="L39" s="266"/>
      <c r="M39" s="269"/>
      <c r="N39" s="265"/>
      <c r="O39" s="266"/>
      <c r="P39" s="453"/>
      <c r="Q39" s="450"/>
      <c r="S39" s="449"/>
      <c r="T39" s="452"/>
      <c r="U39" s="265"/>
      <c r="V39" s="266"/>
      <c r="W39" s="269"/>
      <c r="X39" s="265"/>
      <c r="Y39" s="266"/>
      <c r="Z39" s="269"/>
      <c r="AA39" s="265"/>
      <c r="AB39" s="266"/>
      <c r="AC39" s="453"/>
      <c r="AD39" s="450"/>
      <c r="AF39" s="449"/>
      <c r="AG39" s="452"/>
      <c r="AH39" s="276" t="s">
        <v>35</v>
      </c>
      <c r="AI39" s="277"/>
      <c r="AJ39" s="278"/>
      <c r="AK39" s="276" t="s">
        <v>8</v>
      </c>
      <c r="AL39" s="277" t="s">
        <v>8</v>
      </c>
      <c r="AM39" s="278"/>
      <c r="AN39" s="276" t="s">
        <v>39</v>
      </c>
      <c r="AO39" s="277"/>
      <c r="AP39" s="453"/>
      <c r="AQ39" s="450"/>
      <c r="AS39" s="449"/>
      <c r="AT39" s="452"/>
      <c r="AU39" s="265"/>
      <c r="AV39" s="266"/>
      <c r="AW39" s="269"/>
      <c r="AX39" s="265"/>
      <c r="AY39" s="266"/>
      <c r="AZ39" s="269"/>
      <c r="BA39" s="265"/>
      <c r="BB39" s="266"/>
      <c r="BC39" s="453"/>
      <c r="BD39" s="450"/>
      <c r="BF39" s="449"/>
      <c r="BG39" s="452"/>
      <c r="BH39" s="265"/>
      <c r="BI39" s="266"/>
      <c r="BJ39" s="269"/>
      <c r="BK39" s="265"/>
      <c r="BL39" s="266"/>
      <c r="BM39" s="269"/>
      <c r="BN39" s="265"/>
      <c r="BO39" s="266"/>
      <c r="BP39" s="453"/>
      <c r="BQ39" s="450"/>
    </row>
    <row r="40" spans="1:69" ht="56.85" customHeight="1" x14ac:dyDescent="0.25">
      <c r="A40" t="s">
        <v>22</v>
      </c>
      <c r="F40" s="449"/>
      <c r="G40" s="452"/>
      <c r="H40" s="267"/>
      <c r="I40" s="268"/>
      <c r="J40" s="269"/>
      <c r="K40" s="267"/>
      <c r="L40" s="268"/>
      <c r="M40" s="269"/>
      <c r="N40" s="267"/>
      <c r="O40" s="268"/>
      <c r="P40" s="453"/>
      <c r="Q40" s="450"/>
      <c r="S40" s="449"/>
      <c r="T40" s="452"/>
      <c r="U40" s="267"/>
      <c r="V40" s="268"/>
      <c r="W40" s="269"/>
      <c r="X40" s="267"/>
      <c r="Y40" s="268"/>
      <c r="Z40" s="269"/>
      <c r="AA40" s="267"/>
      <c r="AB40" s="268"/>
      <c r="AC40" s="453"/>
      <c r="AD40" s="450"/>
      <c r="AF40" s="449"/>
      <c r="AG40" s="452"/>
      <c r="AH40" s="279" t="s">
        <v>17</v>
      </c>
      <c r="AI40" s="280" t="s">
        <v>17</v>
      </c>
      <c r="AJ40" s="278"/>
      <c r="AK40" s="279" t="s">
        <v>8</v>
      </c>
      <c r="AL40" s="280" t="s">
        <v>8</v>
      </c>
      <c r="AM40" s="278"/>
      <c r="AN40" s="279" t="s">
        <v>39</v>
      </c>
      <c r="AO40" s="280"/>
      <c r="AP40" s="453"/>
      <c r="AQ40" s="450"/>
      <c r="AS40" s="449"/>
      <c r="AT40" s="452"/>
      <c r="AU40" s="267"/>
      <c r="AV40" s="268"/>
      <c r="AW40" s="269"/>
      <c r="AX40" s="267"/>
      <c r="AY40" s="268"/>
      <c r="AZ40" s="269"/>
      <c r="BA40" s="267"/>
      <c r="BB40" s="268"/>
      <c r="BC40" s="453"/>
      <c r="BD40" s="450"/>
      <c r="BF40" s="449"/>
      <c r="BG40" s="452"/>
      <c r="BH40" s="267"/>
      <c r="BI40" s="268"/>
      <c r="BJ40" s="269"/>
      <c r="BK40" s="267"/>
      <c r="BL40" s="268"/>
      <c r="BM40" s="269"/>
      <c r="BN40" s="267"/>
      <c r="BO40" s="268"/>
      <c r="BP40" s="453"/>
      <c r="BQ40" s="450"/>
    </row>
    <row r="41" spans="1:69" x14ac:dyDescent="0.25">
      <c r="A41" t="s">
        <v>23</v>
      </c>
      <c r="F41" s="449"/>
      <c r="G41" s="452"/>
      <c r="H41" s="269"/>
      <c r="I41" s="269"/>
      <c r="J41" s="269"/>
      <c r="K41" s="269"/>
      <c r="L41" s="269"/>
      <c r="M41" s="269"/>
      <c r="N41" s="269"/>
      <c r="O41" s="269"/>
      <c r="P41" s="453"/>
      <c r="Q41" s="450"/>
      <c r="S41" s="449"/>
      <c r="T41" s="452"/>
      <c r="U41" s="269"/>
      <c r="V41" s="269"/>
      <c r="W41" s="269"/>
      <c r="X41" s="269"/>
      <c r="Y41" s="269"/>
      <c r="Z41" s="269"/>
      <c r="AA41" s="269"/>
      <c r="AB41" s="269"/>
      <c r="AC41" s="453"/>
      <c r="AD41" s="450"/>
      <c r="AF41" s="449"/>
      <c r="AG41" s="452"/>
      <c r="AH41" s="278"/>
      <c r="AI41" s="278"/>
      <c r="AJ41" s="278"/>
      <c r="AK41" s="278"/>
      <c r="AL41" s="278"/>
      <c r="AM41" s="278"/>
      <c r="AN41" s="278"/>
      <c r="AO41" s="278"/>
      <c r="AP41" s="453"/>
      <c r="AQ41" s="450"/>
      <c r="AS41" s="449"/>
      <c r="AT41" s="452"/>
      <c r="AU41" s="269"/>
      <c r="AV41" s="269"/>
      <c r="AW41" s="269"/>
      <c r="AX41" s="269"/>
      <c r="AY41" s="269"/>
      <c r="AZ41" s="269"/>
      <c r="BA41" s="269"/>
      <c r="BB41" s="269"/>
      <c r="BC41" s="453"/>
      <c r="BD41" s="450"/>
      <c r="BF41" s="449"/>
      <c r="BG41" s="452"/>
      <c r="BH41" s="269"/>
      <c r="BI41" s="269"/>
      <c r="BJ41" s="269"/>
      <c r="BK41" s="269"/>
      <c r="BL41" s="269"/>
      <c r="BM41" s="269"/>
      <c r="BN41" s="269"/>
      <c r="BO41" s="269"/>
      <c r="BP41" s="453"/>
      <c r="BQ41" s="450"/>
    </row>
    <row r="42" spans="1:69" ht="56.85" customHeight="1" x14ac:dyDescent="0.25">
      <c r="A42" t="s">
        <v>24</v>
      </c>
      <c r="F42" s="449"/>
      <c r="G42" s="452"/>
      <c r="H42" s="265"/>
      <c r="I42" s="266"/>
      <c r="J42" s="269"/>
      <c r="K42" s="265"/>
      <c r="L42" s="266"/>
      <c r="M42" s="269"/>
      <c r="N42" s="265"/>
      <c r="O42" s="266"/>
      <c r="P42" s="453"/>
      <c r="Q42" s="450"/>
      <c r="S42" s="449"/>
      <c r="T42" s="452"/>
      <c r="U42" s="265"/>
      <c r="V42" s="266"/>
      <c r="W42" s="269"/>
      <c r="X42" s="265"/>
      <c r="Y42" s="266"/>
      <c r="Z42" s="269"/>
      <c r="AA42" s="265"/>
      <c r="AB42" s="266"/>
      <c r="AC42" s="453"/>
      <c r="AD42" s="450"/>
      <c r="AF42" s="449"/>
      <c r="AG42" s="452"/>
      <c r="AH42" s="276"/>
      <c r="AI42" s="277"/>
      <c r="AJ42" s="278"/>
      <c r="AK42" s="276"/>
      <c r="AL42" s="277"/>
      <c r="AM42" s="278"/>
      <c r="AN42" s="276"/>
      <c r="AO42" s="277"/>
      <c r="AP42" s="453"/>
      <c r="AQ42" s="450"/>
      <c r="AS42" s="449"/>
      <c r="AT42" s="452"/>
      <c r="AU42" s="265"/>
      <c r="AV42" s="266"/>
      <c r="AW42" s="269"/>
      <c r="AX42" s="265"/>
      <c r="AY42" s="266"/>
      <c r="AZ42" s="269"/>
      <c r="BA42" s="265"/>
      <c r="BB42" s="266"/>
      <c r="BC42" s="453"/>
      <c r="BD42" s="450"/>
      <c r="BF42" s="449"/>
      <c r="BG42" s="452"/>
      <c r="BH42" s="265"/>
      <c r="BI42" s="266"/>
      <c r="BJ42" s="269"/>
      <c r="BK42" s="265"/>
      <c r="BL42" s="266"/>
      <c r="BM42" s="269"/>
      <c r="BN42" s="265"/>
      <c r="BO42" s="266"/>
      <c r="BP42" s="453"/>
      <c r="BQ42" s="450"/>
    </row>
    <row r="43" spans="1:69" ht="56.85" customHeight="1" x14ac:dyDescent="0.25">
      <c r="A43" t="s">
        <v>25</v>
      </c>
      <c r="F43" s="449"/>
      <c r="G43" s="452"/>
      <c r="H43" s="267"/>
      <c r="I43" s="268"/>
      <c r="J43" s="269"/>
      <c r="K43" s="267"/>
      <c r="L43" s="268"/>
      <c r="M43" s="269"/>
      <c r="N43" s="267"/>
      <c r="O43" s="268"/>
      <c r="P43" s="453"/>
      <c r="Q43" s="450"/>
      <c r="S43" s="449"/>
      <c r="T43" s="452"/>
      <c r="U43" s="267"/>
      <c r="V43" s="268"/>
      <c r="W43" s="269"/>
      <c r="X43" s="267"/>
      <c r="Y43" s="268"/>
      <c r="Z43" s="269"/>
      <c r="AA43" s="267"/>
      <c r="AB43" s="268"/>
      <c r="AC43" s="453"/>
      <c r="AD43" s="450"/>
      <c r="AF43" s="449"/>
      <c r="AG43" s="452"/>
      <c r="AH43" s="279"/>
      <c r="AI43" s="280"/>
      <c r="AJ43" s="278"/>
      <c r="AK43" s="279"/>
      <c r="AL43" s="280"/>
      <c r="AM43" s="278"/>
      <c r="AN43" s="279"/>
      <c r="AO43" s="280"/>
      <c r="AP43" s="453"/>
      <c r="AQ43" s="450"/>
      <c r="AS43" s="449"/>
      <c r="AT43" s="452"/>
      <c r="AU43" s="267"/>
      <c r="AV43" s="268"/>
      <c r="AW43" s="269"/>
      <c r="AX43" s="267"/>
      <c r="AY43" s="268"/>
      <c r="AZ43" s="269"/>
      <c r="BA43" s="267"/>
      <c r="BB43" s="268"/>
      <c r="BC43" s="453"/>
      <c r="BD43" s="450"/>
      <c r="BF43" s="449"/>
      <c r="BG43" s="452"/>
      <c r="BH43" s="267"/>
      <c r="BI43" s="268"/>
      <c r="BJ43" s="269"/>
      <c r="BK43" s="267"/>
      <c r="BL43" s="268"/>
      <c r="BM43" s="269"/>
      <c r="BN43" s="267"/>
      <c r="BO43" s="268"/>
      <c r="BP43" s="453"/>
      <c r="BQ43" s="450"/>
    </row>
    <row r="44" spans="1:69" x14ac:dyDescent="0.25">
      <c r="A44" t="s">
        <v>375</v>
      </c>
      <c r="F44" s="449"/>
      <c r="G44" s="263"/>
      <c r="H44" s="451"/>
      <c r="I44" s="451"/>
      <c r="J44" s="451"/>
      <c r="K44" s="451"/>
      <c r="L44" s="451"/>
      <c r="M44" s="451"/>
      <c r="N44" s="451"/>
      <c r="O44" s="451"/>
      <c r="P44" s="263"/>
      <c r="Q44" s="450"/>
      <c r="S44" s="449"/>
      <c r="T44" s="263"/>
      <c r="U44" s="451"/>
      <c r="V44" s="451"/>
      <c r="W44" s="451"/>
      <c r="X44" s="451"/>
      <c r="Y44" s="451"/>
      <c r="Z44" s="451"/>
      <c r="AA44" s="451"/>
      <c r="AB44" s="451"/>
      <c r="AC44" s="263"/>
      <c r="AD44" s="450"/>
      <c r="AF44" s="449"/>
      <c r="AG44" s="263"/>
      <c r="AH44" s="451"/>
      <c r="AI44" s="451"/>
      <c r="AJ44" s="451"/>
      <c r="AK44" s="451"/>
      <c r="AL44" s="451"/>
      <c r="AM44" s="451"/>
      <c r="AN44" s="451"/>
      <c r="AO44" s="451"/>
      <c r="AP44" s="263"/>
      <c r="AQ44" s="450"/>
      <c r="AS44" s="449"/>
      <c r="AT44" s="263"/>
      <c r="AU44" s="451"/>
      <c r="AV44" s="451"/>
      <c r="AW44" s="451"/>
      <c r="AX44" s="451"/>
      <c r="AY44" s="451"/>
      <c r="AZ44" s="451"/>
      <c r="BA44" s="451"/>
      <c r="BB44" s="451"/>
      <c r="BC44" s="263"/>
      <c r="BD44" s="450"/>
      <c r="BF44" s="449"/>
      <c r="BG44" s="263"/>
      <c r="BH44" s="451"/>
      <c r="BI44" s="451"/>
      <c r="BJ44" s="451"/>
      <c r="BK44" s="451"/>
      <c r="BL44" s="451"/>
      <c r="BM44" s="451"/>
      <c r="BN44" s="451"/>
      <c r="BO44" s="451"/>
      <c r="BP44" s="263"/>
      <c r="BQ44" s="450"/>
    </row>
    <row r="45" spans="1:69" x14ac:dyDescent="0.25">
      <c r="A45" t="s">
        <v>26</v>
      </c>
      <c r="G45" s="448" t="s">
        <v>1251</v>
      </c>
      <c r="H45" s="448"/>
      <c r="I45" s="448"/>
      <c r="J45" s="448"/>
      <c r="K45" s="448"/>
      <c r="L45" s="448"/>
      <c r="M45" s="448"/>
      <c r="N45" s="448"/>
      <c r="O45" s="448"/>
      <c r="P45" s="448"/>
      <c r="T45" s="448" t="s">
        <v>1251</v>
      </c>
      <c r="U45" s="448"/>
      <c r="V45" s="448"/>
      <c r="W45" s="448"/>
      <c r="X45" s="448"/>
      <c r="Y45" s="448"/>
      <c r="Z45" s="448"/>
      <c r="AA45" s="448"/>
      <c r="AB45" s="448"/>
      <c r="AC45" s="448"/>
      <c r="AG45" s="448" t="s">
        <v>1250</v>
      </c>
      <c r="AH45" s="448"/>
      <c r="AI45" s="448"/>
      <c r="AJ45" s="448"/>
      <c r="AK45" s="448"/>
      <c r="AL45" s="448"/>
      <c r="AM45" s="448"/>
      <c r="AN45" s="448"/>
      <c r="AO45" s="448"/>
      <c r="AP45" s="448"/>
      <c r="AT45" s="448" t="s">
        <v>1251</v>
      </c>
      <c r="AU45" s="448"/>
      <c r="AV45" s="448"/>
      <c r="AW45" s="448"/>
      <c r="AX45" s="448"/>
      <c r="AY45" s="448"/>
      <c r="AZ45" s="448"/>
      <c r="BA45" s="448"/>
      <c r="BB45" s="448"/>
      <c r="BC45" s="448"/>
      <c r="BG45" s="448" t="s">
        <v>1251</v>
      </c>
      <c r="BH45" s="448"/>
      <c r="BI45" s="448"/>
      <c r="BJ45" s="448"/>
      <c r="BK45" s="448"/>
      <c r="BL45" s="448"/>
      <c r="BM45" s="448"/>
      <c r="BN45" s="448"/>
      <c r="BO45" s="448"/>
      <c r="BP45" s="448"/>
    </row>
    <row r="46" spans="1:69" hidden="1" x14ac:dyDescent="0.25">
      <c r="A46" t="s">
        <v>27</v>
      </c>
    </row>
    <row r="47" spans="1:69" hidden="1" x14ac:dyDescent="0.25">
      <c r="A47" t="s">
        <v>376</v>
      </c>
      <c r="G47" s="448" t="s">
        <v>1251</v>
      </c>
      <c r="H47" s="448"/>
      <c r="I47" s="448"/>
      <c r="J47" s="448"/>
      <c r="K47" s="448"/>
      <c r="L47" s="448"/>
      <c r="M47" s="448"/>
      <c r="N47" s="448"/>
      <c r="O47" s="448"/>
      <c r="P47" s="448"/>
      <c r="T47" s="448" t="s">
        <v>1251</v>
      </c>
      <c r="U47" s="448"/>
      <c r="V47" s="448"/>
      <c r="W47" s="448"/>
      <c r="X47" s="448"/>
      <c r="Y47" s="448"/>
      <c r="Z47" s="448"/>
      <c r="AA47" s="448"/>
      <c r="AB47" s="448"/>
      <c r="AC47" s="448"/>
      <c r="AG47" s="448" t="s">
        <v>1251</v>
      </c>
      <c r="AH47" s="448"/>
      <c r="AI47" s="448"/>
      <c r="AJ47" s="448"/>
      <c r="AK47" s="448"/>
      <c r="AL47" s="448"/>
      <c r="AM47" s="448"/>
      <c r="AN47" s="448"/>
      <c r="AO47" s="448"/>
      <c r="AP47" s="448"/>
      <c r="AT47" s="448" t="s">
        <v>1251</v>
      </c>
      <c r="AU47" s="448"/>
      <c r="AV47" s="448"/>
      <c r="AW47" s="448"/>
      <c r="AX47" s="448"/>
      <c r="AY47" s="448"/>
      <c r="AZ47" s="448"/>
      <c r="BA47" s="448"/>
      <c r="BB47" s="448"/>
      <c r="BC47" s="448"/>
      <c r="BG47" s="448" t="s">
        <v>1251</v>
      </c>
      <c r="BH47" s="448"/>
      <c r="BI47" s="448"/>
      <c r="BJ47" s="448"/>
      <c r="BK47" s="448"/>
      <c r="BL47" s="448"/>
      <c r="BM47" s="448"/>
      <c r="BN47" s="448"/>
      <c r="BO47" s="448"/>
      <c r="BP47" s="448"/>
    </row>
    <row r="48" spans="1:69" hidden="1" x14ac:dyDescent="0.25">
      <c r="A48" t="s">
        <v>28</v>
      </c>
      <c r="F48" s="449" t="s">
        <v>1251</v>
      </c>
      <c r="G48" s="263"/>
      <c r="H48" s="451"/>
      <c r="I48" s="451"/>
      <c r="J48" s="451"/>
      <c r="K48" s="451"/>
      <c r="L48" s="451"/>
      <c r="M48" s="451"/>
      <c r="N48" s="451"/>
      <c r="O48" s="451"/>
      <c r="P48" s="263"/>
      <c r="Q48" s="450" t="s">
        <v>1251</v>
      </c>
      <c r="S48" s="449" t="s">
        <v>1251</v>
      </c>
      <c r="T48" s="263"/>
      <c r="U48" s="451"/>
      <c r="V48" s="451"/>
      <c r="W48" s="451"/>
      <c r="X48" s="451"/>
      <c r="Y48" s="451"/>
      <c r="Z48" s="451"/>
      <c r="AA48" s="451"/>
      <c r="AB48" s="451"/>
      <c r="AC48" s="263"/>
      <c r="AD48" s="450" t="s">
        <v>1251</v>
      </c>
      <c r="AF48" s="449" t="s">
        <v>1251</v>
      </c>
      <c r="AG48" s="263"/>
      <c r="AH48" s="451"/>
      <c r="AI48" s="451"/>
      <c r="AJ48" s="451"/>
      <c r="AK48" s="451"/>
      <c r="AL48" s="451"/>
      <c r="AM48" s="451"/>
      <c r="AN48" s="451"/>
      <c r="AO48" s="451"/>
      <c r="AP48" s="263"/>
      <c r="AQ48" s="450" t="s">
        <v>1251</v>
      </c>
      <c r="AS48" s="449" t="s">
        <v>1251</v>
      </c>
      <c r="AT48" s="263"/>
      <c r="AU48" s="451"/>
      <c r="AV48" s="451"/>
      <c r="AW48" s="451"/>
      <c r="AX48" s="451"/>
      <c r="AY48" s="451"/>
      <c r="AZ48" s="451"/>
      <c r="BA48" s="451"/>
      <c r="BB48" s="451"/>
      <c r="BC48" s="263"/>
      <c r="BD48" s="450" t="s">
        <v>1251</v>
      </c>
      <c r="BF48" s="449" t="s">
        <v>1251</v>
      </c>
      <c r="BG48" s="263"/>
      <c r="BH48" s="451"/>
      <c r="BI48" s="451"/>
      <c r="BJ48" s="451"/>
      <c r="BK48" s="451"/>
      <c r="BL48" s="451"/>
      <c r="BM48" s="451"/>
      <c r="BN48" s="451"/>
      <c r="BO48" s="451"/>
      <c r="BP48" s="263"/>
      <c r="BQ48" s="450" t="s">
        <v>1251</v>
      </c>
    </row>
    <row r="49" spans="1:69" ht="56.85" hidden="1" customHeight="1" x14ac:dyDescent="0.25">
      <c r="A49" t="s">
        <v>1248</v>
      </c>
      <c r="F49" s="449"/>
      <c r="G49" s="452"/>
      <c r="H49" s="265"/>
      <c r="I49" s="266"/>
      <c r="J49" s="269"/>
      <c r="K49" s="265"/>
      <c r="L49" s="266"/>
      <c r="M49" s="269"/>
      <c r="N49" s="265"/>
      <c r="O49" s="266"/>
      <c r="P49" s="453"/>
      <c r="Q49" s="450"/>
      <c r="S49" s="449"/>
      <c r="T49" s="452"/>
      <c r="U49" s="265"/>
      <c r="V49" s="266"/>
      <c r="W49" s="269"/>
      <c r="X49" s="265"/>
      <c r="Y49" s="266"/>
      <c r="Z49" s="269"/>
      <c r="AA49" s="265"/>
      <c r="AB49" s="266"/>
      <c r="AC49" s="453"/>
      <c r="AD49" s="450"/>
      <c r="AF49" s="449"/>
      <c r="AG49" s="452"/>
      <c r="AH49" s="265"/>
      <c r="AI49" s="266"/>
      <c r="AJ49" s="269"/>
      <c r="AK49" s="265"/>
      <c r="AL49" s="266"/>
      <c r="AM49" s="269"/>
      <c r="AN49" s="265"/>
      <c r="AO49" s="266"/>
      <c r="AP49" s="453"/>
      <c r="AQ49" s="450"/>
      <c r="AS49" s="449"/>
      <c r="AT49" s="452"/>
      <c r="AU49" s="265"/>
      <c r="AV49" s="266"/>
      <c r="AW49" s="269"/>
      <c r="AX49" s="265"/>
      <c r="AY49" s="266"/>
      <c r="AZ49" s="269"/>
      <c r="BA49" s="265"/>
      <c r="BB49" s="266"/>
      <c r="BC49" s="453"/>
      <c r="BD49" s="450"/>
      <c r="BF49" s="449"/>
      <c r="BG49" s="452"/>
      <c r="BH49" s="265"/>
      <c r="BI49" s="266"/>
      <c r="BJ49" s="269"/>
      <c r="BK49" s="265"/>
      <c r="BL49" s="266"/>
      <c r="BM49" s="269"/>
      <c r="BN49" s="265"/>
      <c r="BO49" s="266"/>
      <c r="BP49" s="453"/>
      <c r="BQ49" s="450"/>
    </row>
    <row r="50" spans="1:69" ht="56.85" hidden="1" customHeight="1" x14ac:dyDescent="0.25">
      <c r="A50" t="s">
        <v>29</v>
      </c>
      <c r="F50" s="449"/>
      <c r="G50" s="452"/>
      <c r="H50" s="267"/>
      <c r="I50" s="268"/>
      <c r="J50" s="269"/>
      <c r="K50" s="267"/>
      <c r="L50" s="268"/>
      <c r="M50" s="269"/>
      <c r="N50" s="267"/>
      <c r="O50" s="268"/>
      <c r="P50" s="453"/>
      <c r="Q50" s="450"/>
      <c r="S50" s="449"/>
      <c r="T50" s="452"/>
      <c r="U50" s="267"/>
      <c r="V50" s="268"/>
      <c r="W50" s="269"/>
      <c r="X50" s="267"/>
      <c r="Y50" s="268"/>
      <c r="Z50" s="269"/>
      <c r="AA50" s="267"/>
      <c r="AB50" s="268"/>
      <c r="AC50" s="453"/>
      <c r="AD50" s="450"/>
      <c r="AF50" s="449"/>
      <c r="AG50" s="452"/>
      <c r="AH50" s="267"/>
      <c r="AI50" s="268"/>
      <c r="AJ50" s="269"/>
      <c r="AK50" s="267"/>
      <c r="AL50" s="268"/>
      <c r="AM50" s="269"/>
      <c r="AN50" s="267"/>
      <c r="AO50" s="268"/>
      <c r="AP50" s="453"/>
      <c r="AQ50" s="450"/>
      <c r="AS50" s="449"/>
      <c r="AT50" s="452"/>
      <c r="AU50" s="267"/>
      <c r="AV50" s="268"/>
      <c r="AW50" s="269"/>
      <c r="AX50" s="267"/>
      <c r="AY50" s="268"/>
      <c r="AZ50" s="269"/>
      <c r="BA50" s="267"/>
      <c r="BB50" s="268"/>
      <c r="BC50" s="453"/>
      <c r="BD50" s="450"/>
      <c r="BF50" s="449"/>
      <c r="BG50" s="452"/>
      <c r="BH50" s="267"/>
      <c r="BI50" s="268"/>
      <c r="BJ50" s="269"/>
      <c r="BK50" s="267"/>
      <c r="BL50" s="268"/>
      <c r="BM50" s="269"/>
      <c r="BN50" s="267"/>
      <c r="BO50" s="268"/>
      <c r="BP50" s="453"/>
      <c r="BQ50" s="450"/>
    </row>
    <row r="51" spans="1:69" hidden="1" x14ac:dyDescent="0.25">
      <c r="A51" t="s">
        <v>30</v>
      </c>
      <c r="F51" s="449"/>
      <c r="G51" s="452"/>
      <c r="H51" s="269"/>
      <c r="I51" s="269"/>
      <c r="J51" s="269"/>
      <c r="K51" s="269"/>
      <c r="L51" s="269"/>
      <c r="M51" s="269"/>
      <c r="N51" s="269"/>
      <c r="O51" s="269"/>
      <c r="P51" s="453"/>
      <c r="Q51" s="450"/>
      <c r="S51" s="449"/>
      <c r="T51" s="452"/>
      <c r="U51" s="269"/>
      <c r="V51" s="269"/>
      <c r="W51" s="269"/>
      <c r="X51" s="269"/>
      <c r="Y51" s="269"/>
      <c r="Z51" s="269"/>
      <c r="AA51" s="269"/>
      <c r="AB51" s="269"/>
      <c r="AC51" s="453"/>
      <c r="AD51" s="450"/>
      <c r="AF51" s="449"/>
      <c r="AG51" s="452"/>
      <c r="AH51" s="269"/>
      <c r="AI51" s="269"/>
      <c r="AJ51" s="269"/>
      <c r="AK51" s="269"/>
      <c r="AL51" s="269"/>
      <c r="AM51" s="269"/>
      <c r="AN51" s="269"/>
      <c r="AO51" s="269"/>
      <c r="AP51" s="453"/>
      <c r="AQ51" s="450"/>
      <c r="AS51" s="449"/>
      <c r="AT51" s="452"/>
      <c r="AU51" s="269"/>
      <c r="AV51" s="269"/>
      <c r="AW51" s="269"/>
      <c r="AX51" s="269"/>
      <c r="AY51" s="269"/>
      <c r="AZ51" s="269"/>
      <c r="BA51" s="269"/>
      <c r="BB51" s="269"/>
      <c r="BC51" s="453"/>
      <c r="BD51" s="450"/>
      <c r="BF51" s="449"/>
      <c r="BG51" s="452"/>
      <c r="BH51" s="269"/>
      <c r="BI51" s="269"/>
      <c r="BJ51" s="269"/>
      <c r="BK51" s="269"/>
      <c r="BL51" s="269"/>
      <c r="BM51" s="269"/>
      <c r="BN51" s="269"/>
      <c r="BO51" s="269"/>
      <c r="BP51" s="453"/>
      <c r="BQ51" s="450"/>
    </row>
    <row r="52" spans="1:69" ht="56.85" hidden="1" customHeight="1" x14ac:dyDescent="0.25">
      <c r="A52" t="s">
        <v>31</v>
      </c>
      <c r="F52" s="449"/>
      <c r="G52" s="452"/>
      <c r="H52" s="265"/>
      <c r="I52" s="266"/>
      <c r="J52" s="269"/>
      <c r="K52" s="265"/>
      <c r="L52" s="266"/>
      <c r="M52" s="269"/>
      <c r="N52" s="265"/>
      <c r="O52" s="266"/>
      <c r="P52" s="453"/>
      <c r="Q52" s="450"/>
      <c r="S52" s="449"/>
      <c r="T52" s="452"/>
      <c r="U52" s="265"/>
      <c r="V52" s="266"/>
      <c r="W52" s="269"/>
      <c r="X52" s="265"/>
      <c r="Y52" s="266"/>
      <c r="Z52" s="269"/>
      <c r="AA52" s="265"/>
      <c r="AB52" s="266"/>
      <c r="AC52" s="453"/>
      <c r="AD52" s="450"/>
      <c r="AF52" s="449"/>
      <c r="AG52" s="452"/>
      <c r="AH52" s="265"/>
      <c r="AI52" s="266"/>
      <c r="AJ52" s="269"/>
      <c r="AK52" s="265"/>
      <c r="AL52" s="266"/>
      <c r="AM52" s="269"/>
      <c r="AN52" s="265"/>
      <c r="AO52" s="266"/>
      <c r="AP52" s="453"/>
      <c r="AQ52" s="450"/>
      <c r="AS52" s="449"/>
      <c r="AT52" s="452"/>
      <c r="AU52" s="265"/>
      <c r="AV52" s="266"/>
      <c r="AW52" s="269"/>
      <c r="AX52" s="265"/>
      <c r="AY52" s="266"/>
      <c r="AZ52" s="269"/>
      <c r="BA52" s="265"/>
      <c r="BB52" s="266"/>
      <c r="BC52" s="453"/>
      <c r="BD52" s="450"/>
      <c r="BF52" s="449"/>
      <c r="BG52" s="452"/>
      <c r="BH52" s="265"/>
      <c r="BI52" s="266"/>
      <c r="BJ52" s="269"/>
      <c r="BK52" s="265"/>
      <c r="BL52" s="266"/>
      <c r="BM52" s="269"/>
      <c r="BN52" s="265"/>
      <c r="BO52" s="266"/>
      <c r="BP52" s="453"/>
      <c r="BQ52" s="450"/>
    </row>
    <row r="53" spans="1:69" ht="56.85" hidden="1" customHeight="1" x14ac:dyDescent="0.25">
      <c r="A53" t="s">
        <v>32</v>
      </c>
      <c r="F53" s="449"/>
      <c r="G53" s="452"/>
      <c r="H53" s="267"/>
      <c r="I53" s="268"/>
      <c r="J53" s="269"/>
      <c r="K53" s="267"/>
      <c r="L53" s="268"/>
      <c r="M53" s="269"/>
      <c r="N53" s="267"/>
      <c r="O53" s="268"/>
      <c r="P53" s="453"/>
      <c r="Q53" s="450"/>
      <c r="S53" s="449"/>
      <c r="T53" s="452"/>
      <c r="U53" s="267"/>
      <c r="V53" s="268"/>
      <c r="W53" s="269"/>
      <c r="X53" s="267"/>
      <c r="Y53" s="268"/>
      <c r="Z53" s="269"/>
      <c r="AA53" s="267"/>
      <c r="AB53" s="268"/>
      <c r="AC53" s="453"/>
      <c r="AD53" s="450"/>
      <c r="AF53" s="449"/>
      <c r="AG53" s="452"/>
      <c r="AH53" s="267"/>
      <c r="AI53" s="268"/>
      <c r="AJ53" s="269"/>
      <c r="AK53" s="267"/>
      <c r="AL53" s="268"/>
      <c r="AM53" s="269"/>
      <c r="AN53" s="267"/>
      <c r="AO53" s="268"/>
      <c r="AP53" s="453"/>
      <c r="AQ53" s="450"/>
      <c r="AS53" s="449"/>
      <c r="AT53" s="452"/>
      <c r="AU53" s="267"/>
      <c r="AV53" s="268"/>
      <c r="AW53" s="269"/>
      <c r="AX53" s="267"/>
      <c r="AY53" s="268"/>
      <c r="AZ53" s="269"/>
      <c r="BA53" s="267"/>
      <c r="BB53" s="268"/>
      <c r="BC53" s="453"/>
      <c r="BD53" s="450"/>
      <c r="BF53" s="449"/>
      <c r="BG53" s="452"/>
      <c r="BH53" s="267"/>
      <c r="BI53" s="268"/>
      <c r="BJ53" s="269"/>
      <c r="BK53" s="267"/>
      <c r="BL53" s="268"/>
      <c r="BM53" s="269"/>
      <c r="BN53" s="267"/>
      <c r="BO53" s="268"/>
      <c r="BP53" s="453"/>
      <c r="BQ53" s="450"/>
    </row>
    <row r="54" spans="1:69" hidden="1" x14ac:dyDescent="0.25">
      <c r="A54" t="s">
        <v>33</v>
      </c>
      <c r="F54" s="449"/>
      <c r="G54" s="452"/>
      <c r="H54" s="269"/>
      <c r="I54" s="269"/>
      <c r="J54" s="269"/>
      <c r="K54" s="269"/>
      <c r="L54" s="269"/>
      <c r="M54" s="269"/>
      <c r="N54" s="269"/>
      <c r="O54" s="269"/>
      <c r="P54" s="453"/>
      <c r="Q54" s="450"/>
      <c r="S54" s="449"/>
      <c r="T54" s="452"/>
      <c r="U54" s="269"/>
      <c r="V54" s="269"/>
      <c r="W54" s="269"/>
      <c r="X54" s="269"/>
      <c r="Y54" s="269"/>
      <c r="Z54" s="269"/>
      <c r="AA54" s="269"/>
      <c r="AB54" s="269"/>
      <c r="AC54" s="453"/>
      <c r="AD54" s="450"/>
      <c r="AF54" s="449"/>
      <c r="AG54" s="452"/>
      <c r="AH54" s="269"/>
      <c r="AI54" s="269"/>
      <c r="AJ54" s="269"/>
      <c r="AK54" s="269"/>
      <c r="AL54" s="269"/>
      <c r="AM54" s="269"/>
      <c r="AN54" s="269"/>
      <c r="AO54" s="269"/>
      <c r="AP54" s="453"/>
      <c r="AQ54" s="450"/>
      <c r="AS54" s="449"/>
      <c r="AT54" s="452"/>
      <c r="AU54" s="269"/>
      <c r="AV54" s="269"/>
      <c r="AW54" s="269"/>
      <c r="AX54" s="269"/>
      <c r="AY54" s="269"/>
      <c r="AZ54" s="269"/>
      <c r="BA54" s="269"/>
      <c r="BB54" s="269"/>
      <c r="BC54" s="453"/>
      <c r="BD54" s="450"/>
      <c r="BF54" s="449"/>
      <c r="BG54" s="452"/>
      <c r="BH54" s="269"/>
      <c r="BI54" s="269"/>
      <c r="BJ54" s="269"/>
      <c r="BK54" s="269"/>
      <c r="BL54" s="269"/>
      <c r="BM54" s="269"/>
      <c r="BN54" s="269"/>
      <c r="BO54" s="269"/>
      <c r="BP54" s="453"/>
      <c r="BQ54" s="450"/>
    </row>
    <row r="55" spans="1:69" ht="56.85" hidden="1" customHeight="1" x14ac:dyDescent="0.25">
      <c r="A55" t="s">
        <v>34</v>
      </c>
      <c r="F55" s="449"/>
      <c r="G55" s="452"/>
      <c r="H55" s="265"/>
      <c r="I55" s="266"/>
      <c r="J55" s="269"/>
      <c r="K55" s="265"/>
      <c r="L55" s="266"/>
      <c r="M55" s="269"/>
      <c r="N55" s="265"/>
      <c r="O55" s="266"/>
      <c r="P55" s="453"/>
      <c r="Q55" s="450"/>
      <c r="S55" s="449"/>
      <c r="T55" s="452"/>
      <c r="U55" s="265"/>
      <c r="V55" s="266"/>
      <c r="W55" s="269"/>
      <c r="X55" s="265"/>
      <c r="Y55" s="266"/>
      <c r="Z55" s="269"/>
      <c r="AA55" s="265"/>
      <c r="AB55" s="266"/>
      <c r="AC55" s="453"/>
      <c r="AD55" s="450"/>
      <c r="AF55" s="449"/>
      <c r="AG55" s="452"/>
      <c r="AH55" s="265"/>
      <c r="AI55" s="266"/>
      <c r="AJ55" s="269"/>
      <c r="AK55" s="265"/>
      <c r="AL55" s="266"/>
      <c r="AM55" s="269"/>
      <c r="AN55" s="265"/>
      <c r="AO55" s="266"/>
      <c r="AP55" s="453"/>
      <c r="AQ55" s="450"/>
      <c r="AS55" s="449"/>
      <c r="AT55" s="452"/>
      <c r="AU55" s="265"/>
      <c r="AV55" s="266"/>
      <c r="AW55" s="269"/>
      <c r="AX55" s="265"/>
      <c r="AY55" s="266"/>
      <c r="AZ55" s="269"/>
      <c r="BA55" s="265"/>
      <c r="BB55" s="266"/>
      <c r="BC55" s="453"/>
      <c r="BD55" s="450"/>
      <c r="BF55" s="449"/>
      <c r="BG55" s="452"/>
      <c r="BH55" s="265"/>
      <c r="BI55" s="266"/>
      <c r="BJ55" s="269"/>
      <c r="BK55" s="265"/>
      <c r="BL55" s="266"/>
      <c r="BM55" s="269"/>
      <c r="BN55" s="265"/>
      <c r="BO55" s="266"/>
      <c r="BP55" s="453"/>
      <c r="BQ55" s="450"/>
    </row>
    <row r="56" spans="1:69" ht="56.85" hidden="1" customHeight="1" x14ac:dyDescent="0.25">
      <c r="A56" t="s">
        <v>35</v>
      </c>
      <c r="F56" s="449"/>
      <c r="G56" s="452"/>
      <c r="H56" s="267"/>
      <c r="I56" s="268"/>
      <c r="J56" s="269"/>
      <c r="K56" s="267"/>
      <c r="L56" s="268"/>
      <c r="M56" s="269"/>
      <c r="N56" s="267"/>
      <c r="O56" s="268"/>
      <c r="P56" s="453"/>
      <c r="Q56" s="450"/>
      <c r="S56" s="449"/>
      <c r="T56" s="452"/>
      <c r="U56" s="267"/>
      <c r="V56" s="268"/>
      <c r="W56" s="269"/>
      <c r="X56" s="267"/>
      <c r="Y56" s="268"/>
      <c r="Z56" s="269"/>
      <c r="AA56" s="267"/>
      <c r="AB56" s="268"/>
      <c r="AC56" s="453"/>
      <c r="AD56" s="450"/>
      <c r="AF56" s="449"/>
      <c r="AG56" s="452"/>
      <c r="AH56" s="267"/>
      <c r="AI56" s="268"/>
      <c r="AJ56" s="269"/>
      <c r="AK56" s="267"/>
      <c r="AL56" s="268"/>
      <c r="AM56" s="269"/>
      <c r="AN56" s="267"/>
      <c r="AO56" s="268"/>
      <c r="AP56" s="453"/>
      <c r="AQ56" s="450"/>
      <c r="AS56" s="449"/>
      <c r="AT56" s="452"/>
      <c r="AU56" s="267"/>
      <c r="AV56" s="268"/>
      <c r="AW56" s="269"/>
      <c r="AX56" s="267"/>
      <c r="AY56" s="268"/>
      <c r="AZ56" s="269"/>
      <c r="BA56" s="267"/>
      <c r="BB56" s="268"/>
      <c r="BC56" s="453"/>
      <c r="BD56" s="450"/>
      <c r="BF56" s="449"/>
      <c r="BG56" s="452"/>
      <c r="BH56" s="267"/>
      <c r="BI56" s="268"/>
      <c r="BJ56" s="269"/>
      <c r="BK56" s="267"/>
      <c r="BL56" s="268"/>
      <c r="BM56" s="269"/>
      <c r="BN56" s="267"/>
      <c r="BO56" s="268"/>
      <c r="BP56" s="453"/>
      <c r="BQ56" s="450"/>
    </row>
    <row r="57" spans="1:69" hidden="1" x14ac:dyDescent="0.25">
      <c r="A57" t="s">
        <v>36</v>
      </c>
      <c r="F57" s="449"/>
      <c r="G57" s="263"/>
      <c r="H57" s="451"/>
      <c r="I57" s="451"/>
      <c r="J57" s="451"/>
      <c r="K57" s="451"/>
      <c r="L57" s="451"/>
      <c r="M57" s="451"/>
      <c r="N57" s="451"/>
      <c r="O57" s="451"/>
      <c r="P57" s="263"/>
      <c r="Q57" s="450"/>
      <c r="S57" s="449"/>
      <c r="T57" s="263"/>
      <c r="U57" s="451"/>
      <c r="V57" s="451"/>
      <c r="W57" s="451"/>
      <c r="X57" s="451"/>
      <c r="Y57" s="451"/>
      <c r="Z57" s="451"/>
      <c r="AA57" s="451"/>
      <c r="AB57" s="451"/>
      <c r="AC57" s="263"/>
      <c r="AD57" s="450"/>
      <c r="AF57" s="449"/>
      <c r="AG57" s="263"/>
      <c r="AH57" s="451"/>
      <c r="AI57" s="451"/>
      <c r="AJ57" s="451"/>
      <c r="AK57" s="451"/>
      <c r="AL57" s="451"/>
      <c r="AM57" s="451"/>
      <c r="AN57" s="451"/>
      <c r="AO57" s="451"/>
      <c r="AP57" s="263"/>
      <c r="AQ57" s="450"/>
      <c r="AS57" s="449"/>
      <c r="AT57" s="263"/>
      <c r="AU57" s="451"/>
      <c r="AV57" s="451"/>
      <c r="AW57" s="451"/>
      <c r="AX57" s="451"/>
      <c r="AY57" s="451"/>
      <c r="AZ57" s="451"/>
      <c r="BA57" s="451"/>
      <c r="BB57" s="451"/>
      <c r="BC57" s="263"/>
      <c r="BD57" s="450"/>
      <c r="BF57" s="449"/>
      <c r="BG57" s="263"/>
      <c r="BH57" s="451"/>
      <c r="BI57" s="451"/>
      <c r="BJ57" s="451"/>
      <c r="BK57" s="451"/>
      <c r="BL57" s="451"/>
      <c r="BM57" s="451"/>
      <c r="BN57" s="451"/>
      <c r="BO57" s="451"/>
      <c r="BP57" s="263"/>
      <c r="BQ57" s="450"/>
    </row>
    <row r="58" spans="1:69" hidden="1" x14ac:dyDescent="0.25">
      <c r="A58" t="s">
        <v>37</v>
      </c>
      <c r="G58" s="448" t="s">
        <v>1251</v>
      </c>
      <c r="H58" s="448"/>
      <c r="I58" s="448"/>
      <c r="J58" s="448"/>
      <c r="K58" s="448"/>
      <c r="L58" s="448"/>
      <c r="M58" s="448"/>
      <c r="N58" s="448"/>
      <c r="O58" s="448"/>
      <c r="P58" s="448"/>
      <c r="T58" s="448" t="s">
        <v>1251</v>
      </c>
      <c r="U58" s="448"/>
      <c r="V58" s="448"/>
      <c r="W58" s="448"/>
      <c r="X58" s="448"/>
      <c r="Y58" s="448"/>
      <c r="Z58" s="448"/>
      <c r="AA58" s="448"/>
      <c r="AB58" s="448"/>
      <c r="AC58" s="448"/>
      <c r="AG58" s="448" t="s">
        <v>1251</v>
      </c>
      <c r="AH58" s="448"/>
      <c r="AI58" s="448"/>
      <c r="AJ58" s="448"/>
      <c r="AK58" s="448"/>
      <c r="AL58" s="448"/>
      <c r="AM58" s="448"/>
      <c r="AN58" s="448"/>
      <c r="AO58" s="448"/>
      <c r="AP58" s="448"/>
      <c r="AT58" s="448" t="s">
        <v>1251</v>
      </c>
      <c r="AU58" s="448"/>
      <c r="AV58" s="448"/>
      <c r="AW58" s="448"/>
      <c r="AX58" s="448"/>
      <c r="AY58" s="448"/>
      <c r="AZ58" s="448"/>
      <c r="BA58" s="448"/>
      <c r="BB58" s="448"/>
      <c r="BC58" s="448"/>
      <c r="BG58" s="448" t="s">
        <v>1251</v>
      </c>
      <c r="BH58" s="448"/>
      <c r="BI58" s="448"/>
      <c r="BJ58" s="448"/>
      <c r="BK58" s="448"/>
      <c r="BL58" s="448"/>
      <c r="BM58" s="448"/>
      <c r="BN58" s="448"/>
      <c r="BO58" s="448"/>
      <c r="BP58" s="448"/>
    </row>
    <row r="59" spans="1:69" hidden="1" x14ac:dyDescent="0.25">
      <c r="A59" t="s">
        <v>38</v>
      </c>
    </row>
    <row r="60" spans="1:69" hidden="1" x14ac:dyDescent="0.25">
      <c r="A60" t="s">
        <v>39</v>
      </c>
      <c r="G60" s="448" t="s">
        <v>1251</v>
      </c>
      <c r="H60" s="448"/>
      <c r="I60" s="448"/>
      <c r="J60" s="448"/>
      <c r="K60" s="448"/>
      <c r="L60" s="448"/>
      <c r="M60" s="448"/>
      <c r="N60" s="448"/>
      <c r="O60" s="448"/>
      <c r="P60" s="448"/>
      <c r="T60" s="448" t="s">
        <v>1251</v>
      </c>
      <c r="U60" s="448"/>
      <c r="V60" s="448"/>
      <c r="W60" s="448"/>
      <c r="X60" s="448"/>
      <c r="Y60" s="448"/>
      <c r="Z60" s="448"/>
      <c r="AA60" s="448"/>
      <c r="AB60" s="448"/>
      <c r="AC60" s="448"/>
      <c r="AG60" s="448" t="s">
        <v>1251</v>
      </c>
      <c r="AH60" s="448"/>
      <c r="AI60" s="448"/>
      <c r="AJ60" s="448"/>
      <c r="AK60" s="448"/>
      <c r="AL60" s="448"/>
      <c r="AM60" s="448"/>
      <c r="AN60" s="448"/>
      <c r="AO60" s="448"/>
      <c r="AP60" s="448"/>
      <c r="AT60" s="448" t="s">
        <v>1251</v>
      </c>
      <c r="AU60" s="448"/>
      <c r="AV60" s="448"/>
      <c r="AW60" s="448"/>
      <c r="AX60" s="448"/>
      <c r="AY60" s="448"/>
      <c r="AZ60" s="448"/>
      <c r="BA60" s="448"/>
      <c r="BB60" s="448"/>
      <c r="BC60" s="448"/>
      <c r="BG60" s="448" t="s">
        <v>1251</v>
      </c>
      <c r="BH60" s="448"/>
      <c r="BI60" s="448"/>
      <c r="BJ60" s="448"/>
      <c r="BK60" s="448"/>
      <c r="BL60" s="448"/>
      <c r="BM60" s="448"/>
      <c r="BN60" s="448"/>
      <c r="BO60" s="448"/>
      <c r="BP60" s="448"/>
    </row>
    <row r="61" spans="1:69" hidden="1" x14ac:dyDescent="0.25">
      <c r="A61" t="s">
        <v>40</v>
      </c>
      <c r="F61" s="449" t="s">
        <v>1251</v>
      </c>
      <c r="G61" s="263"/>
      <c r="H61" s="451"/>
      <c r="I61" s="451"/>
      <c r="J61" s="451"/>
      <c r="K61" s="451"/>
      <c r="L61" s="451"/>
      <c r="M61" s="451"/>
      <c r="N61" s="451"/>
      <c r="O61" s="451"/>
      <c r="P61" s="263"/>
      <c r="Q61" s="450" t="s">
        <v>1251</v>
      </c>
      <c r="S61" s="449" t="s">
        <v>1251</v>
      </c>
      <c r="T61" s="263"/>
      <c r="U61" s="451"/>
      <c r="V61" s="451"/>
      <c r="W61" s="451"/>
      <c r="X61" s="451"/>
      <c r="Y61" s="451"/>
      <c r="Z61" s="451"/>
      <c r="AA61" s="451"/>
      <c r="AB61" s="451"/>
      <c r="AC61" s="263"/>
      <c r="AD61" s="450" t="s">
        <v>1251</v>
      </c>
      <c r="AF61" s="449" t="s">
        <v>1251</v>
      </c>
      <c r="AG61" s="263"/>
      <c r="AH61" s="451"/>
      <c r="AI61" s="451"/>
      <c r="AJ61" s="451"/>
      <c r="AK61" s="451"/>
      <c r="AL61" s="451"/>
      <c r="AM61" s="451"/>
      <c r="AN61" s="451"/>
      <c r="AO61" s="451"/>
      <c r="AP61" s="263"/>
      <c r="AQ61" s="450" t="s">
        <v>1251</v>
      </c>
      <c r="AS61" s="449" t="s">
        <v>1251</v>
      </c>
      <c r="AT61" s="263"/>
      <c r="AU61" s="451"/>
      <c r="AV61" s="451"/>
      <c r="AW61" s="451"/>
      <c r="AX61" s="451"/>
      <c r="AY61" s="451"/>
      <c r="AZ61" s="451"/>
      <c r="BA61" s="451"/>
      <c r="BB61" s="451"/>
      <c r="BC61" s="263"/>
      <c r="BD61" s="450" t="s">
        <v>1251</v>
      </c>
      <c r="BF61" s="449" t="s">
        <v>1251</v>
      </c>
      <c r="BG61" s="263"/>
      <c r="BH61" s="451"/>
      <c r="BI61" s="451"/>
      <c r="BJ61" s="451"/>
      <c r="BK61" s="451"/>
      <c r="BL61" s="451"/>
      <c r="BM61" s="451"/>
      <c r="BN61" s="451"/>
      <c r="BO61" s="451"/>
      <c r="BP61" s="263"/>
      <c r="BQ61" s="450" t="s">
        <v>1251</v>
      </c>
    </row>
    <row r="62" spans="1:69" ht="56.85" hidden="1" customHeight="1" x14ac:dyDescent="0.25">
      <c r="A62" t="s">
        <v>41</v>
      </c>
      <c r="F62" s="449"/>
      <c r="G62" s="452"/>
      <c r="H62" s="265"/>
      <c r="I62" s="266"/>
      <c r="J62" s="269"/>
      <c r="K62" s="265"/>
      <c r="L62" s="266"/>
      <c r="M62" s="269"/>
      <c r="N62" s="265"/>
      <c r="O62" s="266"/>
      <c r="P62" s="453"/>
      <c r="Q62" s="450"/>
      <c r="S62" s="449"/>
      <c r="T62" s="452"/>
      <c r="U62" s="265"/>
      <c r="V62" s="266"/>
      <c r="W62" s="269"/>
      <c r="X62" s="265"/>
      <c r="Y62" s="266"/>
      <c r="Z62" s="269"/>
      <c r="AA62" s="265"/>
      <c r="AB62" s="266"/>
      <c r="AC62" s="453"/>
      <c r="AD62" s="450"/>
      <c r="AF62" s="449"/>
      <c r="AG62" s="452"/>
      <c r="AH62" s="265"/>
      <c r="AI62" s="266"/>
      <c r="AJ62" s="269"/>
      <c r="AK62" s="265"/>
      <c r="AL62" s="266"/>
      <c r="AM62" s="269"/>
      <c r="AN62" s="265"/>
      <c r="AO62" s="266"/>
      <c r="AP62" s="453"/>
      <c r="AQ62" s="450"/>
      <c r="AS62" s="449"/>
      <c r="AT62" s="452"/>
      <c r="AU62" s="265"/>
      <c r="AV62" s="266"/>
      <c r="AW62" s="269"/>
      <c r="AX62" s="265"/>
      <c r="AY62" s="266"/>
      <c r="AZ62" s="269"/>
      <c r="BA62" s="265"/>
      <c r="BB62" s="266"/>
      <c r="BC62" s="453"/>
      <c r="BD62" s="450"/>
      <c r="BF62" s="449"/>
      <c r="BG62" s="452"/>
      <c r="BH62" s="265"/>
      <c r="BI62" s="266"/>
      <c r="BJ62" s="269"/>
      <c r="BK62" s="265"/>
      <c r="BL62" s="266"/>
      <c r="BM62" s="269"/>
      <c r="BN62" s="265"/>
      <c r="BO62" s="266"/>
      <c r="BP62" s="453"/>
      <c r="BQ62" s="450"/>
    </row>
    <row r="63" spans="1:69" ht="56.85" hidden="1" customHeight="1" x14ac:dyDescent="0.25">
      <c r="A63" t="s">
        <v>42</v>
      </c>
      <c r="F63" s="449"/>
      <c r="G63" s="452"/>
      <c r="H63" s="267"/>
      <c r="I63" s="268"/>
      <c r="J63" s="269"/>
      <c r="K63" s="267"/>
      <c r="L63" s="268"/>
      <c r="M63" s="269"/>
      <c r="N63" s="267"/>
      <c r="O63" s="268"/>
      <c r="P63" s="453"/>
      <c r="Q63" s="450"/>
      <c r="S63" s="449"/>
      <c r="T63" s="452"/>
      <c r="U63" s="267"/>
      <c r="V63" s="268"/>
      <c r="W63" s="269"/>
      <c r="X63" s="267"/>
      <c r="Y63" s="268"/>
      <c r="Z63" s="269"/>
      <c r="AA63" s="267"/>
      <c r="AB63" s="268"/>
      <c r="AC63" s="453"/>
      <c r="AD63" s="450"/>
      <c r="AF63" s="449"/>
      <c r="AG63" s="452"/>
      <c r="AH63" s="267"/>
      <c r="AI63" s="268"/>
      <c r="AJ63" s="269"/>
      <c r="AK63" s="267"/>
      <c r="AL63" s="268"/>
      <c r="AM63" s="269"/>
      <c r="AN63" s="267"/>
      <c r="AO63" s="268"/>
      <c r="AP63" s="453"/>
      <c r="AQ63" s="450"/>
      <c r="AS63" s="449"/>
      <c r="AT63" s="452"/>
      <c r="AU63" s="267"/>
      <c r="AV63" s="268"/>
      <c r="AW63" s="269"/>
      <c r="AX63" s="267"/>
      <c r="AY63" s="268"/>
      <c r="AZ63" s="269"/>
      <c r="BA63" s="267"/>
      <c r="BB63" s="268"/>
      <c r="BC63" s="453"/>
      <c r="BD63" s="450"/>
      <c r="BF63" s="449"/>
      <c r="BG63" s="452"/>
      <c r="BH63" s="267"/>
      <c r="BI63" s="268"/>
      <c r="BJ63" s="269"/>
      <c r="BK63" s="267"/>
      <c r="BL63" s="268"/>
      <c r="BM63" s="269"/>
      <c r="BN63" s="267"/>
      <c r="BO63" s="268"/>
      <c r="BP63" s="453"/>
      <c r="BQ63" s="450"/>
    </row>
    <row r="64" spans="1:69" hidden="1" x14ac:dyDescent="0.25">
      <c r="A64" t="s">
        <v>377</v>
      </c>
      <c r="F64" s="449"/>
      <c r="G64" s="452"/>
      <c r="H64" s="269"/>
      <c r="I64" s="269"/>
      <c r="J64" s="269"/>
      <c r="K64" s="269"/>
      <c r="L64" s="269"/>
      <c r="M64" s="269"/>
      <c r="N64" s="269"/>
      <c r="O64" s="269"/>
      <c r="P64" s="453"/>
      <c r="Q64" s="450"/>
      <c r="S64" s="449"/>
      <c r="T64" s="452"/>
      <c r="U64" s="269"/>
      <c r="V64" s="269"/>
      <c r="W64" s="269"/>
      <c r="X64" s="269"/>
      <c r="Y64" s="269"/>
      <c r="Z64" s="269"/>
      <c r="AA64" s="269"/>
      <c r="AB64" s="269"/>
      <c r="AC64" s="453"/>
      <c r="AD64" s="450"/>
      <c r="AF64" s="449"/>
      <c r="AG64" s="452"/>
      <c r="AH64" s="269"/>
      <c r="AI64" s="269"/>
      <c r="AJ64" s="269"/>
      <c r="AK64" s="269"/>
      <c r="AL64" s="269"/>
      <c r="AM64" s="269"/>
      <c r="AN64" s="269"/>
      <c r="AO64" s="269"/>
      <c r="AP64" s="453"/>
      <c r="AQ64" s="450"/>
      <c r="AS64" s="449"/>
      <c r="AT64" s="452"/>
      <c r="AU64" s="269"/>
      <c r="AV64" s="269"/>
      <c r="AW64" s="269"/>
      <c r="AX64" s="269"/>
      <c r="AY64" s="269"/>
      <c r="AZ64" s="269"/>
      <c r="BA64" s="269"/>
      <c r="BB64" s="269"/>
      <c r="BC64" s="453"/>
      <c r="BD64" s="450"/>
      <c r="BF64" s="449"/>
      <c r="BG64" s="452"/>
      <c r="BH64" s="269"/>
      <c r="BI64" s="269"/>
      <c r="BJ64" s="269"/>
      <c r="BK64" s="269"/>
      <c r="BL64" s="269"/>
      <c r="BM64" s="269"/>
      <c r="BN64" s="269"/>
      <c r="BO64" s="269"/>
      <c r="BP64" s="453"/>
      <c r="BQ64" s="450"/>
    </row>
    <row r="65" spans="1:69" ht="56.85" hidden="1" customHeight="1" x14ac:dyDescent="0.25">
      <c r="A65" t="s">
        <v>378</v>
      </c>
      <c r="F65" s="449"/>
      <c r="G65" s="452"/>
      <c r="H65" s="265"/>
      <c r="I65" s="266"/>
      <c r="J65" s="269"/>
      <c r="K65" s="265"/>
      <c r="L65" s="266"/>
      <c r="M65" s="269"/>
      <c r="N65" s="265"/>
      <c r="O65" s="266"/>
      <c r="P65" s="453"/>
      <c r="Q65" s="450"/>
      <c r="S65" s="449"/>
      <c r="T65" s="452"/>
      <c r="U65" s="265"/>
      <c r="V65" s="266"/>
      <c r="W65" s="269"/>
      <c r="X65" s="265"/>
      <c r="Y65" s="266"/>
      <c r="Z65" s="269"/>
      <c r="AA65" s="265"/>
      <c r="AB65" s="266"/>
      <c r="AC65" s="453"/>
      <c r="AD65" s="450"/>
      <c r="AF65" s="449"/>
      <c r="AG65" s="452"/>
      <c r="AH65" s="265"/>
      <c r="AI65" s="266"/>
      <c r="AJ65" s="269"/>
      <c r="AK65" s="265"/>
      <c r="AL65" s="266"/>
      <c r="AM65" s="269"/>
      <c r="AN65" s="265"/>
      <c r="AO65" s="266"/>
      <c r="AP65" s="453"/>
      <c r="AQ65" s="450"/>
      <c r="AS65" s="449"/>
      <c r="AT65" s="452"/>
      <c r="AU65" s="265"/>
      <c r="AV65" s="266"/>
      <c r="AW65" s="269"/>
      <c r="AX65" s="265"/>
      <c r="AY65" s="266"/>
      <c r="AZ65" s="269"/>
      <c r="BA65" s="265"/>
      <c r="BB65" s="266"/>
      <c r="BC65" s="453"/>
      <c r="BD65" s="450"/>
      <c r="BF65" s="449"/>
      <c r="BG65" s="452"/>
      <c r="BH65" s="265"/>
      <c r="BI65" s="266"/>
      <c r="BJ65" s="269"/>
      <c r="BK65" s="265"/>
      <c r="BL65" s="266"/>
      <c r="BM65" s="269"/>
      <c r="BN65" s="265"/>
      <c r="BO65" s="266"/>
      <c r="BP65" s="453"/>
      <c r="BQ65" s="450"/>
    </row>
    <row r="66" spans="1:69" ht="56.85" hidden="1" customHeight="1" x14ac:dyDescent="0.25">
      <c r="A66" s="5"/>
      <c r="F66" s="449"/>
      <c r="G66" s="452"/>
      <c r="H66" s="267"/>
      <c r="I66" s="268"/>
      <c r="J66" s="269"/>
      <c r="K66" s="267"/>
      <c r="L66" s="268"/>
      <c r="M66" s="269"/>
      <c r="N66" s="267"/>
      <c r="O66" s="268"/>
      <c r="P66" s="453"/>
      <c r="Q66" s="450"/>
      <c r="S66" s="449"/>
      <c r="T66" s="452"/>
      <c r="U66" s="267"/>
      <c r="V66" s="268"/>
      <c r="W66" s="269"/>
      <c r="X66" s="267"/>
      <c r="Y66" s="268"/>
      <c r="Z66" s="269"/>
      <c r="AA66" s="267"/>
      <c r="AB66" s="268"/>
      <c r="AC66" s="453"/>
      <c r="AD66" s="450"/>
      <c r="AF66" s="449"/>
      <c r="AG66" s="452"/>
      <c r="AH66" s="267"/>
      <c r="AI66" s="268"/>
      <c r="AJ66" s="269"/>
      <c r="AK66" s="267"/>
      <c r="AL66" s="268"/>
      <c r="AM66" s="269"/>
      <c r="AN66" s="267"/>
      <c r="AO66" s="268"/>
      <c r="AP66" s="453"/>
      <c r="AQ66" s="450"/>
      <c r="AS66" s="449"/>
      <c r="AT66" s="452"/>
      <c r="AU66" s="267"/>
      <c r="AV66" s="268"/>
      <c r="AW66" s="269"/>
      <c r="AX66" s="267"/>
      <c r="AY66" s="268"/>
      <c r="AZ66" s="269"/>
      <c r="BA66" s="267"/>
      <c r="BB66" s="268"/>
      <c r="BC66" s="453"/>
      <c r="BD66" s="450"/>
      <c r="BF66" s="449"/>
      <c r="BG66" s="452"/>
      <c r="BH66" s="267"/>
      <c r="BI66" s="268"/>
      <c r="BJ66" s="269"/>
      <c r="BK66" s="267"/>
      <c r="BL66" s="268"/>
      <c r="BM66" s="269"/>
      <c r="BN66" s="267"/>
      <c r="BO66" s="268"/>
      <c r="BP66" s="453"/>
      <c r="BQ66" s="450"/>
    </row>
    <row r="67" spans="1:69" hidden="1" x14ac:dyDescent="0.25">
      <c r="A67" s="5"/>
      <c r="F67" s="449"/>
      <c r="G67" s="452"/>
      <c r="H67" s="269"/>
      <c r="I67" s="269"/>
      <c r="J67" s="269"/>
      <c r="K67" s="269"/>
      <c r="L67" s="269"/>
      <c r="M67" s="269"/>
      <c r="N67" s="269"/>
      <c r="O67" s="269"/>
      <c r="P67" s="453"/>
      <c r="Q67" s="450"/>
      <c r="S67" s="449"/>
      <c r="T67" s="452"/>
      <c r="U67" s="269"/>
      <c r="V67" s="269"/>
      <c r="W67" s="269"/>
      <c r="X67" s="269"/>
      <c r="Y67" s="269"/>
      <c r="Z67" s="269"/>
      <c r="AA67" s="269"/>
      <c r="AB67" s="269"/>
      <c r="AC67" s="453"/>
      <c r="AD67" s="450"/>
      <c r="AF67" s="449"/>
      <c r="AG67" s="452"/>
      <c r="AH67" s="269"/>
      <c r="AI67" s="269"/>
      <c r="AJ67" s="269"/>
      <c r="AK67" s="269"/>
      <c r="AL67" s="269"/>
      <c r="AM67" s="269"/>
      <c r="AN67" s="269"/>
      <c r="AO67" s="269"/>
      <c r="AP67" s="453"/>
      <c r="AQ67" s="450"/>
      <c r="AS67" s="449"/>
      <c r="AT67" s="452"/>
      <c r="AU67" s="269"/>
      <c r="AV67" s="269"/>
      <c r="AW67" s="269"/>
      <c r="AX67" s="269"/>
      <c r="AY67" s="269"/>
      <c r="AZ67" s="269"/>
      <c r="BA67" s="269"/>
      <c r="BB67" s="269"/>
      <c r="BC67" s="453"/>
      <c r="BD67" s="450"/>
      <c r="BF67" s="449"/>
      <c r="BG67" s="452"/>
      <c r="BH67" s="269"/>
      <c r="BI67" s="269"/>
      <c r="BJ67" s="269"/>
      <c r="BK67" s="269"/>
      <c r="BL67" s="269"/>
      <c r="BM67" s="269"/>
      <c r="BN67" s="269"/>
      <c r="BO67" s="269"/>
      <c r="BP67" s="453"/>
      <c r="BQ67" s="450"/>
    </row>
    <row r="68" spans="1:69" ht="56.85" hidden="1" customHeight="1" x14ac:dyDescent="0.25">
      <c r="A68" s="5"/>
      <c r="F68" s="449"/>
      <c r="G68" s="452"/>
      <c r="H68" s="265"/>
      <c r="I68" s="266"/>
      <c r="J68" s="269"/>
      <c r="K68" s="265"/>
      <c r="L68" s="266"/>
      <c r="M68" s="269"/>
      <c r="N68" s="265"/>
      <c r="O68" s="266"/>
      <c r="P68" s="453"/>
      <c r="Q68" s="450"/>
      <c r="S68" s="449"/>
      <c r="T68" s="452"/>
      <c r="U68" s="265"/>
      <c r="V68" s="266"/>
      <c r="W68" s="269"/>
      <c r="X68" s="265"/>
      <c r="Y68" s="266"/>
      <c r="Z68" s="269"/>
      <c r="AA68" s="265"/>
      <c r="AB68" s="266"/>
      <c r="AC68" s="453"/>
      <c r="AD68" s="450"/>
      <c r="AF68" s="449"/>
      <c r="AG68" s="452"/>
      <c r="AH68" s="265"/>
      <c r="AI68" s="266"/>
      <c r="AJ68" s="269"/>
      <c r="AK68" s="265"/>
      <c r="AL68" s="266"/>
      <c r="AM68" s="269"/>
      <c r="AN68" s="265"/>
      <c r="AO68" s="266"/>
      <c r="AP68" s="453"/>
      <c r="AQ68" s="450"/>
      <c r="AS68" s="449"/>
      <c r="AT68" s="452"/>
      <c r="AU68" s="265"/>
      <c r="AV68" s="266"/>
      <c r="AW68" s="269"/>
      <c r="AX68" s="265"/>
      <c r="AY68" s="266"/>
      <c r="AZ68" s="269"/>
      <c r="BA68" s="265"/>
      <c r="BB68" s="266"/>
      <c r="BC68" s="453"/>
      <c r="BD68" s="450"/>
      <c r="BF68" s="449"/>
      <c r="BG68" s="452"/>
      <c r="BH68" s="265"/>
      <c r="BI68" s="266"/>
      <c r="BJ68" s="269"/>
      <c r="BK68" s="265"/>
      <c r="BL68" s="266"/>
      <c r="BM68" s="269"/>
      <c r="BN68" s="265"/>
      <c r="BO68" s="266"/>
      <c r="BP68" s="453"/>
      <c r="BQ68" s="450"/>
    </row>
    <row r="69" spans="1:69" ht="56.85" hidden="1" customHeight="1" x14ac:dyDescent="0.25">
      <c r="A69" s="5"/>
      <c r="F69" s="449"/>
      <c r="G69" s="452"/>
      <c r="H69" s="267"/>
      <c r="I69" s="268"/>
      <c r="J69" s="269"/>
      <c r="K69" s="267"/>
      <c r="L69" s="268"/>
      <c r="M69" s="269"/>
      <c r="N69" s="267"/>
      <c r="O69" s="268"/>
      <c r="P69" s="453"/>
      <c r="Q69" s="450"/>
      <c r="S69" s="449"/>
      <c r="T69" s="452"/>
      <c r="U69" s="267"/>
      <c r="V69" s="268"/>
      <c r="W69" s="269"/>
      <c r="X69" s="267"/>
      <c r="Y69" s="268"/>
      <c r="Z69" s="269"/>
      <c r="AA69" s="267"/>
      <c r="AB69" s="268"/>
      <c r="AC69" s="453"/>
      <c r="AD69" s="450"/>
      <c r="AF69" s="449"/>
      <c r="AG69" s="452"/>
      <c r="AH69" s="267"/>
      <c r="AI69" s="268"/>
      <c r="AJ69" s="269"/>
      <c r="AK69" s="267"/>
      <c r="AL69" s="268"/>
      <c r="AM69" s="269"/>
      <c r="AN69" s="267"/>
      <c r="AO69" s="268"/>
      <c r="AP69" s="453"/>
      <c r="AQ69" s="450"/>
      <c r="AS69" s="449"/>
      <c r="AT69" s="452"/>
      <c r="AU69" s="267"/>
      <c r="AV69" s="268"/>
      <c r="AW69" s="269"/>
      <c r="AX69" s="267"/>
      <c r="AY69" s="268"/>
      <c r="AZ69" s="269"/>
      <c r="BA69" s="267"/>
      <c r="BB69" s="268"/>
      <c r="BC69" s="453"/>
      <c r="BD69" s="450"/>
      <c r="BF69" s="449"/>
      <c r="BG69" s="452"/>
      <c r="BH69" s="267"/>
      <c r="BI69" s="268"/>
      <c r="BJ69" s="269"/>
      <c r="BK69" s="267"/>
      <c r="BL69" s="268"/>
      <c r="BM69" s="269"/>
      <c r="BN69" s="267"/>
      <c r="BO69" s="268"/>
      <c r="BP69" s="453"/>
      <c r="BQ69" s="450"/>
    </row>
    <row r="70" spans="1:69" hidden="1" x14ac:dyDescent="0.25">
      <c r="A70" s="5"/>
      <c r="F70" s="449"/>
      <c r="G70" s="263"/>
      <c r="H70" s="451"/>
      <c r="I70" s="451"/>
      <c r="J70" s="451"/>
      <c r="K70" s="451"/>
      <c r="L70" s="451"/>
      <c r="M70" s="451"/>
      <c r="N70" s="451"/>
      <c r="O70" s="451"/>
      <c r="P70" s="263"/>
      <c r="Q70" s="450"/>
      <c r="S70" s="449"/>
      <c r="T70" s="263"/>
      <c r="U70" s="451"/>
      <c r="V70" s="451"/>
      <c r="W70" s="451"/>
      <c r="X70" s="451"/>
      <c r="Y70" s="451"/>
      <c r="Z70" s="451"/>
      <c r="AA70" s="451"/>
      <c r="AB70" s="451"/>
      <c r="AC70" s="263"/>
      <c r="AD70" s="450"/>
      <c r="AF70" s="449"/>
      <c r="AG70" s="263"/>
      <c r="AH70" s="451"/>
      <c r="AI70" s="451"/>
      <c r="AJ70" s="451"/>
      <c r="AK70" s="451"/>
      <c r="AL70" s="451"/>
      <c r="AM70" s="451"/>
      <c r="AN70" s="451"/>
      <c r="AO70" s="451"/>
      <c r="AP70" s="263"/>
      <c r="AQ70" s="450"/>
      <c r="AS70" s="449"/>
      <c r="AT70" s="263"/>
      <c r="AU70" s="451"/>
      <c r="AV70" s="451"/>
      <c r="AW70" s="451"/>
      <c r="AX70" s="451"/>
      <c r="AY70" s="451"/>
      <c r="AZ70" s="451"/>
      <c r="BA70" s="451"/>
      <c r="BB70" s="451"/>
      <c r="BC70" s="263"/>
      <c r="BD70" s="450"/>
      <c r="BF70" s="449"/>
      <c r="BG70" s="263"/>
      <c r="BH70" s="451"/>
      <c r="BI70" s="451"/>
      <c r="BJ70" s="451"/>
      <c r="BK70" s="451"/>
      <c r="BL70" s="451"/>
      <c r="BM70" s="451"/>
      <c r="BN70" s="451"/>
      <c r="BO70" s="451"/>
      <c r="BP70" s="263"/>
      <c r="BQ70" s="450"/>
    </row>
    <row r="71" spans="1:69" hidden="1" x14ac:dyDescent="0.25">
      <c r="A71" s="5"/>
      <c r="G71" s="448" t="s">
        <v>1251</v>
      </c>
      <c r="H71" s="448"/>
      <c r="I71" s="448"/>
      <c r="J71" s="448"/>
      <c r="K71" s="448"/>
      <c r="L71" s="448"/>
      <c r="M71" s="448"/>
      <c r="N71" s="448"/>
      <c r="O71" s="448"/>
      <c r="P71" s="448"/>
      <c r="T71" s="448" t="s">
        <v>1251</v>
      </c>
      <c r="U71" s="448"/>
      <c r="V71" s="448"/>
      <c r="W71" s="448"/>
      <c r="X71" s="448"/>
      <c r="Y71" s="448"/>
      <c r="Z71" s="448"/>
      <c r="AA71" s="448"/>
      <c r="AB71" s="448"/>
      <c r="AC71" s="448"/>
      <c r="AG71" s="448" t="s">
        <v>1251</v>
      </c>
      <c r="AH71" s="448"/>
      <c r="AI71" s="448"/>
      <c r="AJ71" s="448"/>
      <c r="AK71" s="448"/>
      <c r="AL71" s="448"/>
      <c r="AM71" s="448"/>
      <c r="AN71" s="448"/>
      <c r="AO71" s="448"/>
      <c r="AP71" s="448"/>
      <c r="AT71" s="448" t="s">
        <v>1251</v>
      </c>
      <c r="AU71" s="448"/>
      <c r="AV71" s="448"/>
      <c r="AW71" s="448"/>
      <c r="AX71" s="448"/>
      <c r="AY71" s="448"/>
      <c r="AZ71" s="448"/>
      <c r="BA71" s="448"/>
      <c r="BB71" s="448"/>
      <c r="BC71" s="448"/>
      <c r="BG71" s="448" t="s">
        <v>1251</v>
      </c>
      <c r="BH71" s="448"/>
      <c r="BI71" s="448"/>
      <c r="BJ71" s="448"/>
      <c r="BK71" s="448"/>
      <c r="BL71" s="448"/>
      <c r="BM71" s="448"/>
      <c r="BN71" s="448"/>
      <c r="BO71" s="448"/>
      <c r="BP71" s="448"/>
    </row>
  </sheetData>
  <sheetProtection sheet="1" objects="1" scenarios="1" selectLockedCells="1"/>
  <mergeCells count="200">
    <mergeCell ref="BG71:BP71"/>
    <mergeCell ref="BG58:BP58"/>
    <mergeCell ref="BG60:BP60"/>
    <mergeCell ref="BF61:BF70"/>
    <mergeCell ref="BH61:BO61"/>
    <mergeCell ref="BQ61:BQ70"/>
    <mergeCell ref="BG62:BG69"/>
    <mergeCell ref="BP62:BP69"/>
    <mergeCell ref="BH70:BO70"/>
    <mergeCell ref="BG45:BP45"/>
    <mergeCell ref="BG47:BP47"/>
    <mergeCell ref="BF48:BF57"/>
    <mergeCell ref="BH48:BO48"/>
    <mergeCell ref="BQ48:BQ57"/>
    <mergeCell ref="BG49:BG56"/>
    <mergeCell ref="BP49:BP56"/>
    <mergeCell ref="BH57:BO57"/>
    <mergeCell ref="BG32:BP32"/>
    <mergeCell ref="BG34:BP34"/>
    <mergeCell ref="BF35:BF44"/>
    <mergeCell ref="BH35:BO35"/>
    <mergeCell ref="BQ35:BQ44"/>
    <mergeCell ref="BG36:BG43"/>
    <mergeCell ref="BP36:BP43"/>
    <mergeCell ref="BH44:BO44"/>
    <mergeCell ref="BG19:BP19"/>
    <mergeCell ref="BG21:BP21"/>
    <mergeCell ref="BF22:BF31"/>
    <mergeCell ref="BH22:BO22"/>
    <mergeCell ref="BQ22:BQ31"/>
    <mergeCell ref="BG23:BG30"/>
    <mergeCell ref="BP23:BP30"/>
    <mergeCell ref="BH31:BO31"/>
    <mergeCell ref="BG8:BP8"/>
    <mergeCell ref="BF9:BF18"/>
    <mergeCell ref="BH9:BO9"/>
    <mergeCell ref="BQ9:BQ18"/>
    <mergeCell ref="BG10:BG17"/>
    <mergeCell ref="BP10:BP17"/>
    <mergeCell ref="BH18:BO18"/>
    <mergeCell ref="G71:P71"/>
    <mergeCell ref="T71:AC71"/>
    <mergeCell ref="AG71:AP71"/>
    <mergeCell ref="AT71:BC71"/>
    <mergeCell ref="BD61:BD70"/>
    <mergeCell ref="G62:G69"/>
    <mergeCell ref="P62:P69"/>
    <mergeCell ref="T62:T69"/>
    <mergeCell ref="AC62:AC69"/>
    <mergeCell ref="AG62:AG69"/>
    <mergeCell ref="AP62:AP69"/>
    <mergeCell ref="AT62:AT69"/>
    <mergeCell ref="BC62:BC69"/>
    <mergeCell ref="H70:O70"/>
    <mergeCell ref="AD61:AD70"/>
    <mergeCell ref="AF61:AF70"/>
    <mergeCell ref="AH61:AO61"/>
    <mergeCell ref="AQ61:AQ70"/>
    <mergeCell ref="AS61:AS70"/>
    <mergeCell ref="AU61:BB61"/>
    <mergeCell ref="AT58:BC58"/>
    <mergeCell ref="G60:P60"/>
    <mergeCell ref="T60:AC60"/>
    <mergeCell ref="AG60:AP60"/>
    <mergeCell ref="AT60:BC60"/>
    <mergeCell ref="F61:F70"/>
    <mergeCell ref="H61:O61"/>
    <mergeCell ref="Q61:Q70"/>
    <mergeCell ref="S61:S70"/>
    <mergeCell ref="U61:AB61"/>
    <mergeCell ref="U70:AB70"/>
    <mergeCell ref="AH70:AO70"/>
    <mergeCell ref="AU70:BB70"/>
    <mergeCell ref="AT47:BC47"/>
    <mergeCell ref="AS48:AS57"/>
    <mergeCell ref="AU48:BB48"/>
    <mergeCell ref="BD48:BD57"/>
    <mergeCell ref="AT49:AT56"/>
    <mergeCell ref="BC49:BC56"/>
    <mergeCell ref="AU57:BB57"/>
    <mergeCell ref="AU35:BB35"/>
    <mergeCell ref="BD35:BD44"/>
    <mergeCell ref="AT36:AT43"/>
    <mergeCell ref="BC36:BC43"/>
    <mergeCell ref="AU44:BB44"/>
    <mergeCell ref="AT45:BC45"/>
    <mergeCell ref="BD22:BD31"/>
    <mergeCell ref="AT23:AT30"/>
    <mergeCell ref="BC23:BC30"/>
    <mergeCell ref="AU31:BB31"/>
    <mergeCell ref="AT32:BC32"/>
    <mergeCell ref="AT34:BC34"/>
    <mergeCell ref="BD9:BD18"/>
    <mergeCell ref="AT10:AT17"/>
    <mergeCell ref="BC10:BC17"/>
    <mergeCell ref="AU18:BB18"/>
    <mergeCell ref="AT19:BC19"/>
    <mergeCell ref="AT21:BC21"/>
    <mergeCell ref="AH57:AO57"/>
    <mergeCell ref="G58:P58"/>
    <mergeCell ref="T58:AC58"/>
    <mergeCell ref="AG58:AP58"/>
    <mergeCell ref="AT8:BC8"/>
    <mergeCell ref="AS9:AS18"/>
    <mergeCell ref="AU9:BB9"/>
    <mergeCell ref="AS22:AS31"/>
    <mergeCell ref="AU22:BB22"/>
    <mergeCell ref="AS35:AS44"/>
    <mergeCell ref="AF48:AF57"/>
    <mergeCell ref="AH48:AO48"/>
    <mergeCell ref="AQ48:AQ57"/>
    <mergeCell ref="G49:G56"/>
    <mergeCell ref="P49:P56"/>
    <mergeCell ref="T49:T56"/>
    <mergeCell ref="AC49:AC56"/>
    <mergeCell ref="AG49:AG56"/>
    <mergeCell ref="AP49:AP56"/>
    <mergeCell ref="H57:O57"/>
    <mergeCell ref="AQ35:AQ44"/>
    <mergeCell ref="H35:O35"/>
    <mergeCell ref="Q35:Q44"/>
    <mergeCell ref="S35:S44"/>
    <mergeCell ref="F48:F57"/>
    <mergeCell ref="H48:O48"/>
    <mergeCell ref="Q48:Q57"/>
    <mergeCell ref="S48:S57"/>
    <mergeCell ref="U48:AB48"/>
    <mergeCell ref="AD48:AD57"/>
    <mergeCell ref="U57:AB57"/>
    <mergeCell ref="AH44:AO44"/>
    <mergeCell ref="G45:P45"/>
    <mergeCell ref="T45:AC45"/>
    <mergeCell ref="AG45:AP45"/>
    <mergeCell ref="G47:P47"/>
    <mergeCell ref="T47:AC47"/>
    <mergeCell ref="AG47:AP47"/>
    <mergeCell ref="AF35:AF44"/>
    <mergeCell ref="AH35:AO35"/>
    <mergeCell ref="G36:G43"/>
    <mergeCell ref="P36:P43"/>
    <mergeCell ref="T36:T43"/>
    <mergeCell ref="AC36:AC43"/>
    <mergeCell ref="AG36:AG43"/>
    <mergeCell ref="AP36:AP43"/>
    <mergeCell ref="H44:O44"/>
    <mergeCell ref="F35:F44"/>
    <mergeCell ref="U35:AB35"/>
    <mergeCell ref="AD35:AD44"/>
    <mergeCell ref="U44:AB44"/>
    <mergeCell ref="AH31:AO31"/>
    <mergeCell ref="G32:P32"/>
    <mergeCell ref="T32:AC32"/>
    <mergeCell ref="AG32:AP32"/>
    <mergeCell ref="G34:P34"/>
    <mergeCell ref="T34:AC34"/>
    <mergeCell ref="AG34:AP34"/>
    <mergeCell ref="AQ22:AQ31"/>
    <mergeCell ref="G23:G30"/>
    <mergeCell ref="P23:P30"/>
    <mergeCell ref="T23:T30"/>
    <mergeCell ref="AC23:AC30"/>
    <mergeCell ref="AG23:AG30"/>
    <mergeCell ref="AP23:AP30"/>
    <mergeCell ref="H31:O31"/>
    <mergeCell ref="U31:AB31"/>
    <mergeCell ref="G21:P21"/>
    <mergeCell ref="T21:AC21"/>
    <mergeCell ref="AG21:AP21"/>
    <mergeCell ref="F22:F31"/>
    <mergeCell ref="H22:O22"/>
    <mergeCell ref="Q22:Q31"/>
    <mergeCell ref="S22:S31"/>
    <mergeCell ref="U22:AB22"/>
    <mergeCell ref="AD22:AD31"/>
    <mergeCell ref="AF22:AF31"/>
    <mergeCell ref="AH22:AO22"/>
    <mergeCell ref="AG8:AP8"/>
    <mergeCell ref="AF9:AF18"/>
    <mergeCell ref="AH9:AO9"/>
    <mergeCell ref="AQ9:AQ18"/>
    <mergeCell ref="AG10:AG17"/>
    <mergeCell ref="AP10:AP17"/>
    <mergeCell ref="AH18:AO18"/>
    <mergeCell ref="AG19:AP19"/>
    <mergeCell ref="T8:AC8"/>
    <mergeCell ref="U9:AB9"/>
    <mergeCell ref="AD9:AD18"/>
    <mergeCell ref="T10:T17"/>
    <mergeCell ref="AC10:AC17"/>
    <mergeCell ref="U18:AB18"/>
    <mergeCell ref="G8:P8"/>
    <mergeCell ref="F9:F18"/>
    <mergeCell ref="Q9:Q18"/>
    <mergeCell ref="G19:P19"/>
    <mergeCell ref="H9:O9"/>
    <mergeCell ref="H18:O18"/>
    <mergeCell ref="G10:G17"/>
    <mergeCell ref="P10:P17"/>
    <mergeCell ref="T19:AC19"/>
    <mergeCell ref="S9:S18"/>
  </mergeCells>
  <conditionalFormatting sqref="H9:O9">
    <cfRule type="expression" dxfId="5549" priority="926">
      <formula>H9="City Wall"</formula>
    </cfRule>
  </conditionalFormatting>
  <conditionalFormatting sqref="H18:O18">
    <cfRule type="expression" dxfId="5548" priority="925">
      <formula>H18="City Wall"</formula>
    </cfRule>
  </conditionalFormatting>
  <conditionalFormatting sqref="G10:G17">
    <cfRule type="expression" dxfId="5547" priority="924">
      <formula>G10="City Wall"</formula>
    </cfRule>
  </conditionalFormatting>
  <conditionalFormatting sqref="P10:P17">
    <cfRule type="expression" dxfId="5546" priority="922">
      <formula>P10="City Wall"</formula>
    </cfRule>
  </conditionalFormatting>
  <conditionalFormatting sqref="G9">
    <cfRule type="expression" dxfId="5545" priority="920">
      <formula>G10="City Wall"</formula>
    </cfRule>
    <cfRule type="expression" dxfId="5544" priority="921">
      <formula>H9="City Wall"</formula>
    </cfRule>
  </conditionalFormatting>
  <conditionalFormatting sqref="P9">
    <cfRule type="expression" dxfId="5543" priority="918">
      <formula>P10="City Wall"</formula>
    </cfRule>
    <cfRule type="expression" dxfId="5542" priority="919">
      <formula>H9="City Wall"</formula>
    </cfRule>
  </conditionalFormatting>
  <conditionalFormatting sqref="P18">
    <cfRule type="expression" dxfId="5541" priority="916">
      <formula>H18="City Wall"</formula>
    </cfRule>
    <cfRule type="expression" dxfId="5540" priority="917">
      <formula>P10="City Wall"</formula>
    </cfRule>
  </conditionalFormatting>
  <conditionalFormatting sqref="G18">
    <cfRule type="expression" dxfId="5539" priority="914">
      <formula>G10="City Wall"</formula>
    </cfRule>
    <cfRule type="expression" dxfId="5538" priority="915">
      <formula>H18="City Wall"</formula>
    </cfRule>
  </conditionalFormatting>
  <conditionalFormatting sqref="G19:P19">
    <cfRule type="expression" dxfId="5537" priority="912">
      <formula>G19="Land"</formula>
    </cfRule>
    <cfRule type="expression" dxfId="5536" priority="913">
      <formula>G19="Water"</formula>
    </cfRule>
  </conditionalFormatting>
  <conditionalFormatting sqref="Q19">
    <cfRule type="expression" dxfId="5535" priority="908" stopIfTrue="1">
      <formula>Q9="Water"</formula>
    </cfRule>
    <cfRule type="expression" dxfId="5534" priority="909" stopIfTrue="1">
      <formula>G19="Water"</formula>
    </cfRule>
    <cfRule type="expression" dxfId="5533" priority="910" stopIfTrue="1">
      <formula>G19="Land"</formula>
    </cfRule>
    <cfRule type="expression" dxfId="5532" priority="911" stopIfTrue="1">
      <formula>Q9="Land"</formula>
    </cfRule>
  </conditionalFormatting>
  <conditionalFormatting sqref="G8:P8">
    <cfRule type="expression" dxfId="5531" priority="906" stopIfTrue="1">
      <formula>G8="Water"</formula>
    </cfRule>
    <cfRule type="expression" dxfId="5530" priority="907" stopIfTrue="1">
      <formula>G8="Land"</formula>
    </cfRule>
  </conditionalFormatting>
  <conditionalFormatting sqref="F19">
    <cfRule type="expression" dxfId="5529" priority="902" stopIfTrue="1">
      <formula>F9="Water"</formula>
    </cfRule>
    <cfRule type="expression" dxfId="5528" priority="903" stopIfTrue="1">
      <formula>G19="Water"</formula>
    </cfRule>
    <cfRule type="expression" dxfId="5527" priority="904" stopIfTrue="1">
      <formula>G19="Land"</formula>
    </cfRule>
    <cfRule type="expression" dxfId="5526" priority="905" stopIfTrue="1">
      <formula>F9="Land"</formula>
    </cfRule>
  </conditionalFormatting>
  <conditionalFormatting sqref="F9:F18">
    <cfRule type="expression" dxfId="5525" priority="900" stopIfTrue="1">
      <formula>F9="Water"</formula>
    </cfRule>
    <cfRule type="expression" dxfId="5524" priority="901" stopIfTrue="1">
      <formula>F9="Land"</formula>
    </cfRule>
  </conditionalFormatting>
  <conditionalFormatting sqref="Q9:Q18">
    <cfRule type="expression" dxfId="5523" priority="898" stopIfTrue="1">
      <formula>Q9="Water"</formula>
    </cfRule>
    <cfRule type="expression" dxfId="5522" priority="899" stopIfTrue="1">
      <formula>Q9="Land"</formula>
    </cfRule>
  </conditionalFormatting>
  <conditionalFormatting sqref="Q8">
    <cfRule type="expression" dxfId="5521" priority="894" stopIfTrue="1">
      <formula>Q9="Water"</formula>
    </cfRule>
    <cfRule type="expression" dxfId="5520" priority="895" stopIfTrue="1">
      <formula>G8="Water"</formula>
    </cfRule>
    <cfRule type="expression" dxfId="5519" priority="896" stopIfTrue="1">
      <formula>G8="Land"</formula>
    </cfRule>
    <cfRule type="expression" dxfId="5518" priority="897" stopIfTrue="1">
      <formula>Q9="Land"</formula>
    </cfRule>
  </conditionalFormatting>
  <conditionalFormatting sqref="F8">
    <cfRule type="expression" dxfId="5517" priority="890" stopIfTrue="1">
      <formula>G8="Water"</formula>
    </cfRule>
    <cfRule type="expression" dxfId="5516" priority="891" stopIfTrue="1">
      <formula>F9="Water"</formula>
    </cfRule>
    <cfRule type="expression" dxfId="5515" priority="892" stopIfTrue="1">
      <formula>G8="Land"</formula>
    </cfRule>
    <cfRule type="expression" dxfId="5514" priority="893" stopIfTrue="1">
      <formula>F9="Land"</formula>
    </cfRule>
  </conditionalFormatting>
  <conditionalFormatting sqref="H10:O17">
    <cfRule type="expression" dxfId="5513" priority="889">
      <formula>H10&lt;&gt;""</formula>
    </cfRule>
  </conditionalFormatting>
  <conditionalFormatting sqref="U9:AB9">
    <cfRule type="expression" dxfId="5512" priority="888">
      <formula>U9="City Wall"</formula>
    </cfRule>
  </conditionalFormatting>
  <conditionalFormatting sqref="U18:AB18">
    <cfRule type="expression" dxfId="5511" priority="887">
      <formula>U18="City Wall"</formula>
    </cfRule>
  </conditionalFormatting>
  <conditionalFormatting sqref="T10:T17">
    <cfRule type="expression" dxfId="5510" priority="886">
      <formula>T10="City Wall"</formula>
    </cfRule>
  </conditionalFormatting>
  <conditionalFormatting sqref="AC10:AC17">
    <cfRule type="expression" dxfId="5509" priority="885">
      <formula>AC10="City Wall"</formula>
    </cfRule>
  </conditionalFormatting>
  <conditionalFormatting sqref="T9">
    <cfRule type="expression" dxfId="5508" priority="883">
      <formula>T10="City Wall"</formula>
    </cfRule>
    <cfRule type="expression" dxfId="5507" priority="884">
      <formula>U9="City Wall"</formula>
    </cfRule>
  </conditionalFormatting>
  <conditionalFormatting sqref="AC9">
    <cfRule type="expression" dxfId="5506" priority="881">
      <formula>AC10="City Wall"</formula>
    </cfRule>
    <cfRule type="expression" dxfId="5505" priority="882">
      <formula>U9="City Wall"</formula>
    </cfRule>
  </conditionalFormatting>
  <conditionalFormatting sqref="AC18">
    <cfRule type="expression" dxfId="5504" priority="879">
      <formula>U18="City Wall"</formula>
    </cfRule>
    <cfRule type="expression" dxfId="5503" priority="880">
      <formula>AC10="City Wall"</formula>
    </cfRule>
  </conditionalFormatting>
  <conditionalFormatting sqref="T18">
    <cfRule type="expression" dxfId="5502" priority="877">
      <formula>T10="City Wall"</formula>
    </cfRule>
    <cfRule type="expression" dxfId="5501" priority="878">
      <formula>U18="City Wall"</formula>
    </cfRule>
  </conditionalFormatting>
  <conditionalFormatting sqref="T19:AC19">
    <cfRule type="expression" dxfId="5500" priority="875">
      <formula>T19="Land"</formula>
    </cfRule>
    <cfRule type="expression" dxfId="5499" priority="876">
      <formula>T19="Water"</formula>
    </cfRule>
  </conditionalFormatting>
  <conditionalFormatting sqref="AD19">
    <cfRule type="expression" dxfId="5498" priority="871" stopIfTrue="1">
      <formula>AD9="Water"</formula>
    </cfRule>
    <cfRule type="expression" dxfId="5497" priority="872" stopIfTrue="1">
      <formula>T19="Water"</formula>
    </cfRule>
    <cfRule type="expression" dxfId="5496" priority="873" stopIfTrue="1">
      <formula>T19="Land"</formula>
    </cfRule>
    <cfRule type="expression" dxfId="5495" priority="874" stopIfTrue="1">
      <formula>AD9="Land"</formula>
    </cfRule>
  </conditionalFormatting>
  <conditionalFormatting sqref="T8:AC8">
    <cfRule type="expression" dxfId="5494" priority="869" stopIfTrue="1">
      <formula>T8="Water"</formula>
    </cfRule>
    <cfRule type="expression" dxfId="5493" priority="870" stopIfTrue="1">
      <formula>T8="Land"</formula>
    </cfRule>
  </conditionalFormatting>
  <conditionalFormatting sqref="S19">
    <cfRule type="expression" dxfId="5492" priority="865" stopIfTrue="1">
      <formula>S9="Water"</formula>
    </cfRule>
    <cfRule type="expression" dxfId="5491" priority="866" stopIfTrue="1">
      <formula>T19="Water"</formula>
    </cfRule>
    <cfRule type="expression" dxfId="5490" priority="867" stopIfTrue="1">
      <formula>T19="Land"</formula>
    </cfRule>
    <cfRule type="expression" dxfId="5489" priority="868" stopIfTrue="1">
      <formula>S9="Land"</formula>
    </cfRule>
  </conditionalFormatting>
  <conditionalFormatting sqref="S9:S18">
    <cfRule type="expression" dxfId="5488" priority="863" stopIfTrue="1">
      <formula>S9="Water"</formula>
    </cfRule>
    <cfRule type="expression" dxfId="5487" priority="864" stopIfTrue="1">
      <formula>S9="Land"</formula>
    </cfRule>
  </conditionalFormatting>
  <conditionalFormatting sqref="AD9:AD18">
    <cfRule type="expression" dxfId="5486" priority="861" stopIfTrue="1">
      <formula>AD9="Water"</formula>
    </cfRule>
    <cfRule type="expression" dxfId="5485" priority="862" stopIfTrue="1">
      <formula>AD9="Land"</formula>
    </cfRule>
  </conditionalFormatting>
  <conditionalFormatting sqref="AD8">
    <cfRule type="expression" dxfId="5484" priority="857" stopIfTrue="1">
      <formula>AD9="Water"</formula>
    </cfRule>
    <cfRule type="expression" dxfId="5483" priority="858" stopIfTrue="1">
      <formula>T8="Water"</formula>
    </cfRule>
    <cfRule type="expression" dxfId="5482" priority="859" stopIfTrue="1">
      <formula>T8="Land"</formula>
    </cfRule>
    <cfRule type="expression" dxfId="5481" priority="860" stopIfTrue="1">
      <formula>AD9="Land"</formula>
    </cfRule>
  </conditionalFormatting>
  <conditionalFormatting sqref="S8">
    <cfRule type="expression" dxfId="5480" priority="853" stopIfTrue="1">
      <formula>T8="Water"</formula>
    </cfRule>
    <cfRule type="expression" dxfId="5479" priority="854" stopIfTrue="1">
      <formula>S9="Water"</formula>
    </cfRule>
    <cfRule type="expression" dxfId="5478" priority="855" stopIfTrue="1">
      <formula>T8="Land"</formula>
    </cfRule>
    <cfRule type="expression" dxfId="5477" priority="856" stopIfTrue="1">
      <formula>S9="Land"</formula>
    </cfRule>
  </conditionalFormatting>
  <conditionalFormatting sqref="U10:AB17">
    <cfRule type="expression" dxfId="5476" priority="852">
      <formula>U10&lt;&gt;""</formula>
    </cfRule>
  </conditionalFormatting>
  <conditionalFormatting sqref="AH9:AO9">
    <cfRule type="expression" dxfId="5475" priority="851">
      <formula>AH9="City Wall"</formula>
    </cfRule>
  </conditionalFormatting>
  <conditionalFormatting sqref="AH18:AO18">
    <cfRule type="expression" dxfId="5474" priority="850">
      <formula>AH18="City Wall"</formula>
    </cfRule>
  </conditionalFormatting>
  <conditionalFormatting sqref="AG10:AG17">
    <cfRule type="expression" dxfId="5473" priority="849">
      <formula>AG10="City Wall"</formula>
    </cfRule>
  </conditionalFormatting>
  <conditionalFormatting sqref="AP10:AP17">
    <cfRule type="expression" dxfId="5472" priority="848">
      <formula>AP10="City Wall"</formula>
    </cfRule>
  </conditionalFormatting>
  <conditionalFormatting sqref="AG9">
    <cfRule type="expression" dxfId="5471" priority="846">
      <formula>AG10="City Wall"</formula>
    </cfRule>
    <cfRule type="expression" dxfId="5470" priority="847">
      <formula>AH9="City Wall"</formula>
    </cfRule>
  </conditionalFormatting>
  <conditionalFormatting sqref="AP9">
    <cfRule type="expression" dxfId="5469" priority="844">
      <formula>AP10="City Wall"</formula>
    </cfRule>
    <cfRule type="expression" dxfId="5468" priority="845">
      <formula>AH9="City Wall"</formula>
    </cfRule>
  </conditionalFormatting>
  <conditionalFormatting sqref="AP18">
    <cfRule type="expression" dxfId="5467" priority="842">
      <formula>AH18="City Wall"</formula>
    </cfRule>
    <cfRule type="expression" dxfId="5466" priority="843">
      <formula>AP10="City Wall"</formula>
    </cfRule>
  </conditionalFormatting>
  <conditionalFormatting sqref="AG18">
    <cfRule type="expression" dxfId="5465" priority="840">
      <formula>AG10="City Wall"</formula>
    </cfRule>
    <cfRule type="expression" dxfId="5464" priority="841">
      <formula>AH18="City Wall"</formula>
    </cfRule>
  </conditionalFormatting>
  <conditionalFormatting sqref="AG19:AP19">
    <cfRule type="expression" dxfId="5463" priority="838">
      <formula>AG19="Land"</formula>
    </cfRule>
    <cfRule type="expression" dxfId="5462" priority="839">
      <formula>AG19="Water"</formula>
    </cfRule>
  </conditionalFormatting>
  <conditionalFormatting sqref="AQ19">
    <cfRule type="expression" dxfId="5461" priority="834" stopIfTrue="1">
      <formula>AQ9="Water"</formula>
    </cfRule>
    <cfRule type="expression" dxfId="5460" priority="835" stopIfTrue="1">
      <formula>AG19="Water"</formula>
    </cfRule>
    <cfRule type="expression" dxfId="5459" priority="836" stopIfTrue="1">
      <formula>AG19="Land"</formula>
    </cfRule>
    <cfRule type="expression" dxfId="5458" priority="837" stopIfTrue="1">
      <formula>AQ9="Land"</formula>
    </cfRule>
  </conditionalFormatting>
  <conditionalFormatting sqref="AG8:AP8">
    <cfRule type="expression" dxfId="5457" priority="832" stopIfTrue="1">
      <formula>AG8="Water"</formula>
    </cfRule>
    <cfRule type="expression" dxfId="5456" priority="833" stopIfTrue="1">
      <formula>AG8="Land"</formula>
    </cfRule>
  </conditionalFormatting>
  <conditionalFormatting sqref="AF19">
    <cfRule type="expression" dxfId="5455" priority="828" stopIfTrue="1">
      <formula>AF9="Water"</formula>
    </cfRule>
    <cfRule type="expression" dxfId="5454" priority="829" stopIfTrue="1">
      <formula>AG19="Water"</formula>
    </cfRule>
    <cfRule type="expression" dxfId="5453" priority="830" stopIfTrue="1">
      <formula>AG19="Land"</formula>
    </cfRule>
    <cfRule type="expression" dxfId="5452" priority="831" stopIfTrue="1">
      <formula>AF9="Land"</formula>
    </cfRule>
  </conditionalFormatting>
  <conditionalFormatting sqref="AF9:AF18">
    <cfRule type="expression" dxfId="5451" priority="826" stopIfTrue="1">
      <formula>AF9="Water"</formula>
    </cfRule>
    <cfRule type="expression" dxfId="5450" priority="827" stopIfTrue="1">
      <formula>AF9="Land"</formula>
    </cfRule>
  </conditionalFormatting>
  <conditionalFormatting sqref="AQ9:AQ18">
    <cfRule type="expression" dxfId="5449" priority="824" stopIfTrue="1">
      <formula>AQ9="Water"</formula>
    </cfRule>
    <cfRule type="expression" dxfId="5448" priority="825" stopIfTrue="1">
      <formula>AQ9="Land"</formula>
    </cfRule>
  </conditionalFormatting>
  <conditionalFormatting sqref="AQ8">
    <cfRule type="expression" dxfId="5447" priority="820" stopIfTrue="1">
      <formula>AQ9="Water"</formula>
    </cfRule>
    <cfRule type="expression" dxfId="5446" priority="821" stopIfTrue="1">
      <formula>AG8="Water"</formula>
    </cfRule>
    <cfRule type="expression" dxfId="5445" priority="822" stopIfTrue="1">
      <formula>AG8="Land"</formula>
    </cfRule>
    <cfRule type="expression" dxfId="5444" priority="823" stopIfTrue="1">
      <formula>AQ9="Land"</formula>
    </cfRule>
  </conditionalFormatting>
  <conditionalFormatting sqref="AF8">
    <cfRule type="expression" dxfId="5443" priority="816" stopIfTrue="1">
      <formula>AG8="Water"</formula>
    </cfRule>
    <cfRule type="expression" dxfId="5442" priority="817" stopIfTrue="1">
      <formula>AF9="Water"</formula>
    </cfRule>
    <cfRule type="expression" dxfId="5441" priority="818" stopIfTrue="1">
      <formula>AG8="Land"</formula>
    </cfRule>
    <cfRule type="expression" dxfId="5440" priority="819" stopIfTrue="1">
      <formula>AF9="Land"</formula>
    </cfRule>
  </conditionalFormatting>
  <conditionalFormatting sqref="AH10:AO17">
    <cfRule type="expression" dxfId="5439" priority="815">
      <formula>AH10&lt;&gt;""</formula>
    </cfRule>
  </conditionalFormatting>
  <conditionalFormatting sqref="H22:O22">
    <cfRule type="expression" dxfId="5438" priority="814">
      <formula>H22="City Wall"</formula>
    </cfRule>
  </conditionalFormatting>
  <conditionalFormatting sqref="H31:O31">
    <cfRule type="expression" dxfId="5437" priority="813">
      <formula>H31="City Wall"</formula>
    </cfRule>
  </conditionalFormatting>
  <conditionalFormatting sqref="G23:G30">
    <cfRule type="expression" dxfId="5436" priority="812">
      <formula>G23="City Wall"</formula>
    </cfRule>
  </conditionalFormatting>
  <conditionalFormatting sqref="P23:P30">
    <cfRule type="expression" dxfId="5435" priority="811">
      <formula>P23="City Wall"</formula>
    </cfRule>
  </conditionalFormatting>
  <conditionalFormatting sqref="G22">
    <cfRule type="expression" dxfId="5434" priority="809">
      <formula>G23="City Wall"</formula>
    </cfRule>
    <cfRule type="expression" dxfId="5433" priority="810">
      <formula>H22="City Wall"</formula>
    </cfRule>
  </conditionalFormatting>
  <conditionalFormatting sqref="P22">
    <cfRule type="expression" dxfId="5432" priority="807">
      <formula>P23="City Wall"</formula>
    </cfRule>
    <cfRule type="expression" dxfId="5431" priority="808">
      <formula>H22="City Wall"</formula>
    </cfRule>
  </conditionalFormatting>
  <conditionalFormatting sqref="P31">
    <cfRule type="expression" dxfId="5430" priority="805">
      <formula>H31="City Wall"</formula>
    </cfRule>
    <cfRule type="expression" dxfId="5429" priority="806">
      <formula>P23="City Wall"</formula>
    </cfRule>
  </conditionalFormatting>
  <conditionalFormatting sqref="G31">
    <cfRule type="expression" dxfId="5428" priority="803">
      <formula>G23="City Wall"</formula>
    </cfRule>
    <cfRule type="expression" dxfId="5427" priority="804">
      <formula>H31="City Wall"</formula>
    </cfRule>
  </conditionalFormatting>
  <conditionalFormatting sqref="G32:P32">
    <cfRule type="expression" dxfId="5426" priority="801">
      <formula>G32="Land"</formula>
    </cfRule>
    <cfRule type="expression" dxfId="5425" priority="802">
      <formula>G32="Water"</formula>
    </cfRule>
  </conditionalFormatting>
  <conditionalFormatting sqref="Q32">
    <cfRule type="expression" dxfId="5424" priority="797" stopIfTrue="1">
      <formula>Q22="Water"</formula>
    </cfRule>
    <cfRule type="expression" dxfId="5423" priority="798" stopIfTrue="1">
      <formula>G32="Water"</formula>
    </cfRule>
    <cfRule type="expression" dxfId="5422" priority="799" stopIfTrue="1">
      <formula>G32="Land"</formula>
    </cfRule>
    <cfRule type="expression" dxfId="5421" priority="800" stopIfTrue="1">
      <formula>Q22="Land"</formula>
    </cfRule>
  </conditionalFormatting>
  <conditionalFormatting sqref="G21:P21">
    <cfRule type="expression" dxfId="5420" priority="795" stopIfTrue="1">
      <formula>G21="Water"</formula>
    </cfRule>
    <cfRule type="expression" dxfId="5419" priority="796" stopIfTrue="1">
      <formula>G21="Land"</formula>
    </cfRule>
  </conditionalFormatting>
  <conditionalFormatting sqref="F32">
    <cfRule type="expression" dxfId="5418" priority="791" stopIfTrue="1">
      <formula>F22="Water"</formula>
    </cfRule>
    <cfRule type="expression" dxfId="5417" priority="792" stopIfTrue="1">
      <formula>G32="Water"</formula>
    </cfRule>
    <cfRule type="expression" dxfId="5416" priority="793" stopIfTrue="1">
      <formula>G32="Land"</formula>
    </cfRule>
    <cfRule type="expression" dxfId="5415" priority="794" stopIfTrue="1">
      <formula>F22="Land"</formula>
    </cfRule>
  </conditionalFormatting>
  <conditionalFormatting sqref="F22:F31">
    <cfRule type="expression" dxfId="5414" priority="789" stopIfTrue="1">
      <formula>F22="Water"</formula>
    </cfRule>
    <cfRule type="expression" dxfId="5413" priority="790" stopIfTrue="1">
      <formula>F22="Land"</formula>
    </cfRule>
  </conditionalFormatting>
  <conditionalFormatting sqref="Q22:Q31">
    <cfRule type="expression" dxfId="5412" priority="787" stopIfTrue="1">
      <formula>Q22="Water"</formula>
    </cfRule>
    <cfRule type="expression" dxfId="5411" priority="788" stopIfTrue="1">
      <formula>Q22="Land"</formula>
    </cfRule>
  </conditionalFormatting>
  <conditionalFormatting sqref="Q21">
    <cfRule type="expression" dxfId="5410" priority="783" stopIfTrue="1">
      <formula>Q22="Water"</formula>
    </cfRule>
    <cfRule type="expression" dxfId="5409" priority="784" stopIfTrue="1">
      <formula>G21="Water"</formula>
    </cfRule>
    <cfRule type="expression" dxfId="5408" priority="785" stopIfTrue="1">
      <formula>G21="Land"</formula>
    </cfRule>
    <cfRule type="expression" dxfId="5407" priority="786" stopIfTrue="1">
      <formula>Q22="Land"</formula>
    </cfRule>
  </conditionalFormatting>
  <conditionalFormatting sqref="F21">
    <cfRule type="expression" dxfId="5406" priority="779" stopIfTrue="1">
      <formula>G21="Water"</formula>
    </cfRule>
    <cfRule type="expression" dxfId="5405" priority="780" stopIfTrue="1">
      <formula>F22="Water"</formula>
    </cfRule>
    <cfRule type="expression" dxfId="5404" priority="781" stopIfTrue="1">
      <formula>G21="Land"</formula>
    </cfRule>
    <cfRule type="expression" dxfId="5403" priority="782" stopIfTrue="1">
      <formula>F22="Land"</formula>
    </cfRule>
  </conditionalFormatting>
  <conditionalFormatting sqref="H23:O30">
    <cfRule type="expression" dxfId="5402" priority="778">
      <formula>H23&lt;&gt;""</formula>
    </cfRule>
  </conditionalFormatting>
  <conditionalFormatting sqref="U22:AB22">
    <cfRule type="expression" dxfId="5401" priority="777">
      <formula>U22="City Wall"</formula>
    </cfRule>
  </conditionalFormatting>
  <conditionalFormatting sqref="U31:AB31">
    <cfRule type="expression" dxfId="5400" priority="776">
      <formula>U31="City Wall"</formula>
    </cfRule>
  </conditionalFormatting>
  <conditionalFormatting sqref="T23:T30">
    <cfRule type="expression" dxfId="5399" priority="775">
      <formula>T23="City Wall"</formula>
    </cfRule>
  </conditionalFormatting>
  <conditionalFormatting sqref="AC23:AC30">
    <cfRule type="expression" dxfId="5398" priority="774">
      <formula>AC23="City Wall"</formula>
    </cfRule>
  </conditionalFormatting>
  <conditionalFormatting sqref="T22">
    <cfRule type="expression" dxfId="5397" priority="772">
      <formula>T23="City Wall"</formula>
    </cfRule>
    <cfRule type="expression" dxfId="5396" priority="773">
      <formula>U22="City Wall"</formula>
    </cfRule>
  </conditionalFormatting>
  <conditionalFormatting sqref="AC22">
    <cfRule type="expression" dxfId="5395" priority="770">
      <formula>AC23="City Wall"</formula>
    </cfRule>
    <cfRule type="expression" dxfId="5394" priority="771">
      <formula>U22="City Wall"</formula>
    </cfRule>
  </conditionalFormatting>
  <conditionalFormatting sqref="AC31">
    <cfRule type="expression" dxfId="5393" priority="768">
      <formula>U31="City Wall"</formula>
    </cfRule>
    <cfRule type="expression" dxfId="5392" priority="769">
      <formula>AC23="City Wall"</formula>
    </cfRule>
  </conditionalFormatting>
  <conditionalFormatting sqref="T31">
    <cfRule type="expression" dxfId="5391" priority="766">
      <formula>T23="City Wall"</formula>
    </cfRule>
    <cfRule type="expression" dxfId="5390" priority="767">
      <formula>U31="City Wall"</formula>
    </cfRule>
  </conditionalFormatting>
  <conditionalFormatting sqref="T32:AC32">
    <cfRule type="expression" dxfId="5389" priority="764">
      <formula>T32="Land"</formula>
    </cfRule>
    <cfRule type="expression" dxfId="5388" priority="765">
      <formula>T32="Water"</formula>
    </cfRule>
  </conditionalFormatting>
  <conditionalFormatting sqref="AD32">
    <cfRule type="expression" dxfId="5387" priority="760" stopIfTrue="1">
      <formula>AD22="Water"</formula>
    </cfRule>
    <cfRule type="expression" dxfId="5386" priority="761" stopIfTrue="1">
      <formula>T32="Water"</formula>
    </cfRule>
    <cfRule type="expression" dxfId="5385" priority="762" stopIfTrue="1">
      <formula>T32="Land"</formula>
    </cfRule>
    <cfRule type="expression" dxfId="5384" priority="763" stopIfTrue="1">
      <formula>AD22="Land"</formula>
    </cfRule>
  </conditionalFormatting>
  <conditionalFormatting sqref="T21:AC21">
    <cfRule type="expression" dxfId="5383" priority="758" stopIfTrue="1">
      <formula>T21="Water"</formula>
    </cfRule>
    <cfRule type="expression" dxfId="5382" priority="759" stopIfTrue="1">
      <formula>T21="Land"</formula>
    </cfRule>
  </conditionalFormatting>
  <conditionalFormatting sqref="S32">
    <cfRule type="expression" dxfId="5381" priority="754" stopIfTrue="1">
      <formula>S22="Water"</formula>
    </cfRule>
    <cfRule type="expression" dxfId="5380" priority="755" stopIfTrue="1">
      <formula>T32="Water"</formula>
    </cfRule>
    <cfRule type="expression" dxfId="5379" priority="756" stopIfTrue="1">
      <formula>T32="Land"</formula>
    </cfRule>
    <cfRule type="expression" dxfId="5378" priority="757" stopIfTrue="1">
      <formula>S22="Land"</formula>
    </cfRule>
  </conditionalFormatting>
  <conditionalFormatting sqref="S22:S31">
    <cfRule type="expression" dxfId="5377" priority="752" stopIfTrue="1">
      <formula>S22="Water"</formula>
    </cfRule>
    <cfRule type="expression" dxfId="5376" priority="753" stopIfTrue="1">
      <formula>S22="Land"</formula>
    </cfRule>
  </conditionalFormatting>
  <conditionalFormatting sqref="AD22:AD31">
    <cfRule type="expression" dxfId="5375" priority="750" stopIfTrue="1">
      <formula>AD22="Water"</formula>
    </cfRule>
    <cfRule type="expression" dxfId="5374" priority="751" stopIfTrue="1">
      <formula>AD22="Land"</formula>
    </cfRule>
  </conditionalFormatting>
  <conditionalFormatting sqref="AD21">
    <cfRule type="expression" dxfId="5373" priority="746" stopIfTrue="1">
      <formula>AD22="Water"</formula>
    </cfRule>
    <cfRule type="expression" dxfId="5372" priority="747" stopIfTrue="1">
      <formula>T21="Water"</formula>
    </cfRule>
    <cfRule type="expression" dxfId="5371" priority="748" stopIfTrue="1">
      <formula>T21="Land"</formula>
    </cfRule>
    <cfRule type="expression" dxfId="5370" priority="749" stopIfTrue="1">
      <formula>AD22="Land"</formula>
    </cfRule>
  </conditionalFormatting>
  <conditionalFormatting sqref="S21">
    <cfRule type="expression" dxfId="5369" priority="742" stopIfTrue="1">
      <formula>T21="Water"</formula>
    </cfRule>
    <cfRule type="expression" dxfId="5368" priority="743" stopIfTrue="1">
      <formula>S22="Water"</formula>
    </cfRule>
    <cfRule type="expression" dxfId="5367" priority="744" stopIfTrue="1">
      <formula>T21="Land"</formula>
    </cfRule>
    <cfRule type="expression" dxfId="5366" priority="745" stopIfTrue="1">
      <formula>S22="Land"</formula>
    </cfRule>
  </conditionalFormatting>
  <conditionalFormatting sqref="U23:AB30">
    <cfRule type="expression" dxfId="5365" priority="741">
      <formula>U23&lt;&gt;""</formula>
    </cfRule>
  </conditionalFormatting>
  <conditionalFormatting sqref="AH22:AO22">
    <cfRule type="expression" dxfId="5364" priority="740">
      <formula>AH22="City Wall"</formula>
    </cfRule>
  </conditionalFormatting>
  <conditionalFormatting sqref="AH31:AO31">
    <cfRule type="expression" dxfId="5363" priority="739">
      <formula>AH31="City Wall"</formula>
    </cfRule>
  </conditionalFormatting>
  <conditionalFormatting sqref="AG23:AG30">
    <cfRule type="expression" dxfId="5362" priority="738">
      <formula>AG23="City Wall"</formula>
    </cfRule>
  </conditionalFormatting>
  <conditionalFormatting sqref="AP23:AP30">
    <cfRule type="expression" dxfId="5361" priority="737">
      <formula>AP23="City Wall"</formula>
    </cfRule>
  </conditionalFormatting>
  <conditionalFormatting sqref="AG22">
    <cfRule type="expression" dxfId="5360" priority="735">
      <formula>AG23="City Wall"</formula>
    </cfRule>
    <cfRule type="expression" dxfId="5359" priority="736">
      <formula>AH22="City Wall"</formula>
    </cfRule>
  </conditionalFormatting>
  <conditionalFormatting sqref="AP22">
    <cfRule type="expression" dxfId="5358" priority="733">
      <formula>AP23="City Wall"</formula>
    </cfRule>
    <cfRule type="expression" dxfId="5357" priority="734">
      <formula>AH22="City Wall"</formula>
    </cfRule>
  </conditionalFormatting>
  <conditionalFormatting sqref="AP31">
    <cfRule type="expression" dxfId="5356" priority="731">
      <formula>AH31="City Wall"</formula>
    </cfRule>
    <cfRule type="expression" dxfId="5355" priority="732">
      <formula>AP23="City Wall"</formula>
    </cfRule>
  </conditionalFormatting>
  <conditionalFormatting sqref="AG31">
    <cfRule type="expression" dxfId="5354" priority="729">
      <formula>AG23="City Wall"</formula>
    </cfRule>
    <cfRule type="expression" dxfId="5353" priority="730">
      <formula>AH31="City Wall"</formula>
    </cfRule>
  </conditionalFormatting>
  <conditionalFormatting sqref="AG32:AP32">
    <cfRule type="expression" dxfId="5352" priority="727">
      <formula>AG32="Land"</formula>
    </cfRule>
    <cfRule type="expression" dxfId="5351" priority="728">
      <formula>AG32="Water"</formula>
    </cfRule>
  </conditionalFormatting>
  <conditionalFormatting sqref="AQ32">
    <cfRule type="expression" dxfId="5350" priority="723" stopIfTrue="1">
      <formula>AQ22="Water"</formula>
    </cfRule>
    <cfRule type="expression" dxfId="5349" priority="724" stopIfTrue="1">
      <formula>AG32="Water"</formula>
    </cfRule>
    <cfRule type="expression" dxfId="5348" priority="725" stopIfTrue="1">
      <formula>AG32="Land"</formula>
    </cfRule>
    <cfRule type="expression" dxfId="5347" priority="726" stopIfTrue="1">
      <formula>AQ22="Land"</formula>
    </cfRule>
  </conditionalFormatting>
  <conditionalFormatting sqref="AG21:AP21">
    <cfRule type="expression" dxfId="5346" priority="721" stopIfTrue="1">
      <formula>AG21="Water"</formula>
    </cfRule>
    <cfRule type="expression" dxfId="5345" priority="722" stopIfTrue="1">
      <formula>AG21="Land"</formula>
    </cfRule>
  </conditionalFormatting>
  <conditionalFormatting sqref="AF32">
    <cfRule type="expression" dxfId="5344" priority="717" stopIfTrue="1">
      <formula>AF22="Water"</formula>
    </cfRule>
    <cfRule type="expression" dxfId="5343" priority="718" stopIfTrue="1">
      <formula>AG32="Water"</formula>
    </cfRule>
    <cfRule type="expression" dxfId="5342" priority="719" stopIfTrue="1">
      <formula>AG32="Land"</formula>
    </cfRule>
    <cfRule type="expression" dxfId="5341" priority="720" stopIfTrue="1">
      <formula>AF22="Land"</formula>
    </cfRule>
  </conditionalFormatting>
  <conditionalFormatting sqref="AF22:AF31">
    <cfRule type="expression" dxfId="5340" priority="715" stopIfTrue="1">
      <formula>AF22="Water"</formula>
    </cfRule>
    <cfRule type="expression" dxfId="5339" priority="716" stopIfTrue="1">
      <formula>AF22="Land"</formula>
    </cfRule>
  </conditionalFormatting>
  <conditionalFormatting sqref="AQ22:AQ31">
    <cfRule type="expression" dxfId="5338" priority="713" stopIfTrue="1">
      <formula>AQ22="Water"</formula>
    </cfRule>
    <cfRule type="expression" dxfId="5337" priority="714" stopIfTrue="1">
      <formula>AQ22="Land"</formula>
    </cfRule>
  </conditionalFormatting>
  <conditionalFormatting sqref="AQ21">
    <cfRule type="expression" dxfId="5336" priority="709" stopIfTrue="1">
      <formula>AQ22="Water"</formula>
    </cfRule>
    <cfRule type="expression" dxfId="5335" priority="710" stopIfTrue="1">
      <formula>AG21="Water"</formula>
    </cfRule>
    <cfRule type="expression" dxfId="5334" priority="711" stopIfTrue="1">
      <formula>AG21="Land"</formula>
    </cfRule>
    <cfRule type="expression" dxfId="5333" priority="712" stopIfTrue="1">
      <formula>AQ22="Land"</formula>
    </cfRule>
  </conditionalFormatting>
  <conditionalFormatting sqref="AF21">
    <cfRule type="expression" dxfId="5332" priority="705" stopIfTrue="1">
      <formula>AG21="Water"</formula>
    </cfRule>
    <cfRule type="expression" dxfId="5331" priority="706" stopIfTrue="1">
      <formula>AF22="Water"</formula>
    </cfRule>
    <cfRule type="expression" dxfId="5330" priority="707" stopIfTrue="1">
      <formula>AG21="Land"</formula>
    </cfRule>
    <cfRule type="expression" dxfId="5329" priority="708" stopIfTrue="1">
      <formula>AF22="Land"</formula>
    </cfRule>
  </conditionalFormatting>
  <conditionalFormatting sqref="AH23:AO30">
    <cfRule type="expression" dxfId="5328" priority="704">
      <formula>AH23&lt;&gt;""</formula>
    </cfRule>
  </conditionalFormatting>
  <conditionalFormatting sqref="H35:O35">
    <cfRule type="expression" dxfId="5327" priority="703">
      <formula>H35="City Wall"</formula>
    </cfRule>
  </conditionalFormatting>
  <conditionalFormatting sqref="H44:O44">
    <cfRule type="expression" dxfId="5326" priority="702">
      <formula>H44="City Wall"</formula>
    </cfRule>
  </conditionalFormatting>
  <conditionalFormatting sqref="G36:G43">
    <cfRule type="expression" dxfId="5325" priority="701">
      <formula>G36="City Wall"</formula>
    </cfRule>
  </conditionalFormatting>
  <conditionalFormatting sqref="P36:P43">
    <cfRule type="expression" dxfId="5324" priority="700">
      <formula>P36="City Wall"</formula>
    </cfRule>
  </conditionalFormatting>
  <conditionalFormatting sqref="G35">
    <cfRule type="expression" dxfId="5323" priority="698">
      <formula>G36="City Wall"</formula>
    </cfRule>
    <cfRule type="expression" dxfId="5322" priority="699">
      <formula>H35="City Wall"</formula>
    </cfRule>
  </conditionalFormatting>
  <conditionalFormatting sqref="P35">
    <cfRule type="expression" dxfId="5321" priority="696">
      <formula>P36="City Wall"</formula>
    </cfRule>
    <cfRule type="expression" dxfId="5320" priority="697">
      <formula>H35="City Wall"</formula>
    </cfRule>
  </conditionalFormatting>
  <conditionalFormatting sqref="P44">
    <cfRule type="expression" dxfId="5319" priority="694">
      <formula>H44="City Wall"</formula>
    </cfRule>
    <cfRule type="expression" dxfId="5318" priority="695">
      <formula>P36="City Wall"</formula>
    </cfRule>
  </conditionalFormatting>
  <conditionalFormatting sqref="G44">
    <cfRule type="expression" dxfId="5317" priority="692">
      <formula>G36="City Wall"</formula>
    </cfRule>
    <cfRule type="expression" dxfId="5316" priority="693">
      <formula>H44="City Wall"</formula>
    </cfRule>
  </conditionalFormatting>
  <conditionalFormatting sqref="G45:P45">
    <cfRule type="expression" dxfId="5315" priority="690">
      <formula>G45="Land"</formula>
    </cfRule>
    <cfRule type="expression" dxfId="5314" priority="691">
      <formula>G45="Water"</formula>
    </cfRule>
  </conditionalFormatting>
  <conditionalFormatting sqref="Q45">
    <cfRule type="expression" dxfId="5313" priority="686" stopIfTrue="1">
      <formula>Q35="Water"</formula>
    </cfRule>
    <cfRule type="expression" dxfId="5312" priority="687" stopIfTrue="1">
      <formula>G45="Water"</formula>
    </cfRule>
    <cfRule type="expression" dxfId="5311" priority="688" stopIfTrue="1">
      <formula>G45="Land"</formula>
    </cfRule>
    <cfRule type="expression" dxfId="5310" priority="689" stopIfTrue="1">
      <formula>Q35="Land"</formula>
    </cfRule>
  </conditionalFormatting>
  <conditionalFormatting sqref="G34:P34">
    <cfRule type="expression" dxfId="5309" priority="684" stopIfTrue="1">
      <formula>G34="Water"</formula>
    </cfRule>
    <cfRule type="expression" dxfId="5308" priority="685" stopIfTrue="1">
      <formula>G34="Land"</formula>
    </cfRule>
  </conditionalFormatting>
  <conditionalFormatting sqref="F45">
    <cfRule type="expression" dxfId="5307" priority="680" stopIfTrue="1">
      <formula>F35="Water"</formula>
    </cfRule>
    <cfRule type="expression" dxfId="5306" priority="681" stopIfTrue="1">
      <formula>G45="Water"</formula>
    </cfRule>
    <cfRule type="expression" dxfId="5305" priority="682" stopIfTrue="1">
      <formula>G45="Land"</formula>
    </cfRule>
    <cfRule type="expression" dxfId="5304" priority="683" stopIfTrue="1">
      <formula>F35="Land"</formula>
    </cfRule>
  </conditionalFormatting>
  <conditionalFormatting sqref="F35:F44">
    <cfRule type="expression" dxfId="5303" priority="678" stopIfTrue="1">
      <formula>F35="Water"</formula>
    </cfRule>
    <cfRule type="expression" dxfId="5302" priority="679" stopIfTrue="1">
      <formula>F35="Land"</formula>
    </cfRule>
  </conditionalFormatting>
  <conditionalFormatting sqref="Q35:Q44">
    <cfRule type="expression" dxfId="5301" priority="676" stopIfTrue="1">
      <formula>Q35="Water"</formula>
    </cfRule>
    <cfRule type="expression" dxfId="5300" priority="677" stopIfTrue="1">
      <formula>Q35="Land"</formula>
    </cfRule>
  </conditionalFormatting>
  <conditionalFormatting sqref="Q34">
    <cfRule type="expression" dxfId="5299" priority="672" stopIfTrue="1">
      <formula>Q35="Water"</formula>
    </cfRule>
    <cfRule type="expression" dxfId="5298" priority="673" stopIfTrue="1">
      <formula>G34="Water"</formula>
    </cfRule>
    <cfRule type="expression" dxfId="5297" priority="674" stopIfTrue="1">
      <formula>G34="Land"</formula>
    </cfRule>
    <cfRule type="expression" dxfId="5296" priority="675" stopIfTrue="1">
      <formula>Q35="Land"</formula>
    </cfRule>
  </conditionalFormatting>
  <conditionalFormatting sqref="F34">
    <cfRule type="expression" dxfId="5295" priority="668" stopIfTrue="1">
      <formula>G34="Water"</formula>
    </cfRule>
    <cfRule type="expression" dxfId="5294" priority="669" stopIfTrue="1">
      <formula>F35="Water"</formula>
    </cfRule>
    <cfRule type="expression" dxfId="5293" priority="670" stopIfTrue="1">
      <formula>G34="Land"</formula>
    </cfRule>
    <cfRule type="expression" dxfId="5292" priority="671" stopIfTrue="1">
      <formula>F35="Land"</formula>
    </cfRule>
  </conditionalFormatting>
  <conditionalFormatting sqref="H36:O43">
    <cfRule type="expression" dxfId="5291" priority="667">
      <formula>H36&lt;&gt;""</formula>
    </cfRule>
  </conditionalFormatting>
  <conditionalFormatting sqref="U35:AB35">
    <cfRule type="expression" dxfId="5290" priority="666">
      <formula>U35="City Wall"</formula>
    </cfRule>
  </conditionalFormatting>
  <conditionalFormatting sqref="U44:AB44">
    <cfRule type="expression" dxfId="5289" priority="665">
      <formula>U44="City Wall"</formula>
    </cfRule>
  </conditionalFormatting>
  <conditionalFormatting sqref="T36:T43">
    <cfRule type="expression" dxfId="5288" priority="664">
      <formula>T36="City Wall"</formula>
    </cfRule>
  </conditionalFormatting>
  <conditionalFormatting sqref="AC36:AC43">
    <cfRule type="expression" dxfId="5287" priority="663">
      <formula>AC36="City Wall"</formula>
    </cfRule>
  </conditionalFormatting>
  <conditionalFormatting sqref="T35">
    <cfRule type="expression" dxfId="5286" priority="661">
      <formula>T36="City Wall"</formula>
    </cfRule>
    <cfRule type="expression" dxfId="5285" priority="662">
      <formula>U35="City Wall"</formula>
    </cfRule>
  </conditionalFormatting>
  <conditionalFormatting sqref="AC35">
    <cfRule type="expression" dxfId="5284" priority="659">
      <formula>AC36="City Wall"</formula>
    </cfRule>
    <cfRule type="expression" dxfId="5283" priority="660">
      <formula>U35="City Wall"</formula>
    </cfRule>
  </conditionalFormatting>
  <conditionalFormatting sqref="AC44">
    <cfRule type="expression" dxfId="5282" priority="657">
      <formula>U44="City Wall"</formula>
    </cfRule>
    <cfRule type="expression" dxfId="5281" priority="658">
      <formula>AC36="City Wall"</formula>
    </cfRule>
  </conditionalFormatting>
  <conditionalFormatting sqref="T44">
    <cfRule type="expression" dxfId="5280" priority="655">
      <formula>T36="City Wall"</formula>
    </cfRule>
    <cfRule type="expression" dxfId="5279" priority="656">
      <formula>U44="City Wall"</formula>
    </cfRule>
  </conditionalFormatting>
  <conditionalFormatting sqref="T45:AC45">
    <cfRule type="expression" dxfId="5278" priority="653">
      <formula>T45="Land"</formula>
    </cfRule>
    <cfRule type="expression" dxfId="5277" priority="654">
      <formula>T45="Water"</formula>
    </cfRule>
  </conditionalFormatting>
  <conditionalFormatting sqref="AD45">
    <cfRule type="expression" dxfId="5276" priority="649" stopIfTrue="1">
      <formula>AD35="Water"</formula>
    </cfRule>
    <cfRule type="expression" dxfId="5275" priority="650" stopIfTrue="1">
      <formula>T45="Water"</formula>
    </cfRule>
    <cfRule type="expression" dxfId="5274" priority="651" stopIfTrue="1">
      <formula>T45="Land"</formula>
    </cfRule>
    <cfRule type="expression" dxfId="5273" priority="652" stopIfTrue="1">
      <formula>AD35="Land"</formula>
    </cfRule>
  </conditionalFormatting>
  <conditionalFormatting sqref="T34:AC34">
    <cfRule type="expression" dxfId="5272" priority="647" stopIfTrue="1">
      <formula>T34="Water"</formula>
    </cfRule>
    <cfRule type="expression" dxfId="5271" priority="648" stopIfTrue="1">
      <formula>T34="Land"</formula>
    </cfRule>
  </conditionalFormatting>
  <conditionalFormatting sqref="S45">
    <cfRule type="expression" dxfId="5270" priority="643" stopIfTrue="1">
      <formula>S35="Water"</formula>
    </cfRule>
    <cfRule type="expression" dxfId="5269" priority="644" stopIfTrue="1">
      <formula>T45="Water"</formula>
    </cfRule>
    <cfRule type="expression" dxfId="5268" priority="645" stopIfTrue="1">
      <formula>T45="Land"</formula>
    </cfRule>
    <cfRule type="expression" dxfId="5267" priority="646" stopIfTrue="1">
      <formula>S35="Land"</formula>
    </cfRule>
  </conditionalFormatting>
  <conditionalFormatting sqref="S35:S44">
    <cfRule type="expression" dxfId="5266" priority="641" stopIfTrue="1">
      <formula>S35="Water"</formula>
    </cfRule>
    <cfRule type="expression" dxfId="5265" priority="642" stopIfTrue="1">
      <formula>S35="Land"</formula>
    </cfRule>
  </conditionalFormatting>
  <conditionalFormatting sqref="AD35:AD44">
    <cfRule type="expression" dxfId="5264" priority="639" stopIfTrue="1">
      <formula>AD35="Water"</formula>
    </cfRule>
    <cfRule type="expression" dxfId="5263" priority="640" stopIfTrue="1">
      <formula>AD35="Land"</formula>
    </cfRule>
  </conditionalFormatting>
  <conditionalFormatting sqref="AD34">
    <cfRule type="expression" dxfId="5262" priority="635" stopIfTrue="1">
      <formula>AD35="Water"</formula>
    </cfRule>
    <cfRule type="expression" dxfId="5261" priority="636" stopIfTrue="1">
      <formula>T34="Water"</formula>
    </cfRule>
    <cfRule type="expression" dxfId="5260" priority="637" stopIfTrue="1">
      <formula>T34="Land"</formula>
    </cfRule>
    <cfRule type="expression" dxfId="5259" priority="638" stopIfTrue="1">
      <formula>AD35="Land"</formula>
    </cfRule>
  </conditionalFormatting>
  <conditionalFormatting sqref="S34">
    <cfRule type="expression" dxfId="5258" priority="631" stopIfTrue="1">
      <formula>T34="Water"</formula>
    </cfRule>
    <cfRule type="expression" dxfId="5257" priority="632" stopIfTrue="1">
      <formula>S35="Water"</formula>
    </cfRule>
    <cfRule type="expression" dxfId="5256" priority="633" stopIfTrue="1">
      <formula>T34="Land"</formula>
    </cfRule>
    <cfRule type="expression" dxfId="5255" priority="634" stopIfTrue="1">
      <formula>S35="Land"</formula>
    </cfRule>
  </conditionalFormatting>
  <conditionalFormatting sqref="U36:AB43">
    <cfRule type="expression" dxfId="5254" priority="630">
      <formula>U36&lt;&gt;""</formula>
    </cfRule>
  </conditionalFormatting>
  <conditionalFormatting sqref="AH35:AO35">
    <cfRule type="expression" dxfId="5253" priority="629">
      <formula>AH35="City Wall"</formula>
    </cfRule>
  </conditionalFormatting>
  <conditionalFormatting sqref="AH44:AO44">
    <cfRule type="expression" dxfId="5252" priority="628">
      <formula>AH44="City Wall"</formula>
    </cfRule>
  </conditionalFormatting>
  <conditionalFormatting sqref="AG36:AG43">
    <cfRule type="expression" dxfId="5251" priority="627">
      <formula>AG36="City Wall"</formula>
    </cfRule>
  </conditionalFormatting>
  <conditionalFormatting sqref="AP36:AP43">
    <cfRule type="expression" dxfId="5250" priority="626">
      <formula>AP36="City Wall"</formula>
    </cfRule>
  </conditionalFormatting>
  <conditionalFormatting sqref="AG35">
    <cfRule type="expression" dxfId="5249" priority="624">
      <formula>AG36="City Wall"</formula>
    </cfRule>
    <cfRule type="expression" dxfId="5248" priority="625">
      <formula>AH35="City Wall"</formula>
    </cfRule>
  </conditionalFormatting>
  <conditionalFormatting sqref="AP35">
    <cfRule type="expression" dxfId="5247" priority="622">
      <formula>AP36="City Wall"</formula>
    </cfRule>
    <cfRule type="expression" dxfId="5246" priority="623">
      <formula>AH35="City Wall"</formula>
    </cfRule>
  </conditionalFormatting>
  <conditionalFormatting sqref="AP44">
    <cfRule type="expression" dxfId="5245" priority="620">
      <formula>AH44="City Wall"</formula>
    </cfRule>
    <cfRule type="expression" dxfId="5244" priority="621">
      <formula>AP36="City Wall"</formula>
    </cfRule>
  </conditionalFormatting>
  <conditionalFormatting sqref="AG44">
    <cfRule type="expression" dxfId="5243" priority="618">
      <formula>AG36="City Wall"</formula>
    </cfRule>
    <cfRule type="expression" dxfId="5242" priority="619">
      <formula>AH44="City Wall"</formula>
    </cfRule>
  </conditionalFormatting>
  <conditionalFormatting sqref="AG45:AP45">
    <cfRule type="expression" dxfId="5241" priority="616">
      <formula>AG45="Land"</formula>
    </cfRule>
    <cfRule type="expression" dxfId="5240" priority="617">
      <formula>AG45="Water"</formula>
    </cfRule>
  </conditionalFormatting>
  <conditionalFormatting sqref="AQ45">
    <cfRule type="expression" dxfId="5239" priority="612" stopIfTrue="1">
      <formula>AQ35="Water"</formula>
    </cfRule>
    <cfRule type="expression" dxfId="5238" priority="613" stopIfTrue="1">
      <formula>AG45="Water"</formula>
    </cfRule>
    <cfRule type="expression" dxfId="5237" priority="614" stopIfTrue="1">
      <formula>AG45="Land"</formula>
    </cfRule>
    <cfRule type="expression" dxfId="5236" priority="615" stopIfTrue="1">
      <formula>AQ35="Land"</formula>
    </cfRule>
  </conditionalFormatting>
  <conditionalFormatting sqref="AG34:AP34">
    <cfRule type="expression" dxfId="5235" priority="610" stopIfTrue="1">
      <formula>AG34="Water"</formula>
    </cfRule>
    <cfRule type="expression" dxfId="5234" priority="611" stopIfTrue="1">
      <formula>AG34="Land"</formula>
    </cfRule>
  </conditionalFormatting>
  <conditionalFormatting sqref="AF45">
    <cfRule type="expression" dxfId="5233" priority="606" stopIfTrue="1">
      <formula>AF35="Water"</formula>
    </cfRule>
    <cfRule type="expression" dxfId="5232" priority="607" stopIfTrue="1">
      <formula>AG45="Water"</formula>
    </cfRule>
    <cfRule type="expression" dxfId="5231" priority="608" stopIfTrue="1">
      <formula>AG45="Land"</formula>
    </cfRule>
    <cfRule type="expression" dxfId="5230" priority="609" stopIfTrue="1">
      <formula>AF35="Land"</formula>
    </cfRule>
  </conditionalFormatting>
  <conditionalFormatting sqref="AF35:AF44">
    <cfRule type="expression" dxfId="5229" priority="604" stopIfTrue="1">
      <formula>AF35="Water"</formula>
    </cfRule>
    <cfRule type="expression" dxfId="5228" priority="605" stopIfTrue="1">
      <formula>AF35="Land"</formula>
    </cfRule>
  </conditionalFormatting>
  <conditionalFormatting sqref="AQ35:AQ44">
    <cfRule type="expression" dxfId="5227" priority="602" stopIfTrue="1">
      <formula>AQ35="Water"</formula>
    </cfRule>
    <cfRule type="expression" dxfId="5226" priority="603" stopIfTrue="1">
      <formula>AQ35="Land"</formula>
    </cfRule>
  </conditionalFormatting>
  <conditionalFormatting sqref="AQ34">
    <cfRule type="expression" dxfId="5225" priority="598" stopIfTrue="1">
      <formula>AQ35="Water"</formula>
    </cfRule>
    <cfRule type="expression" dxfId="5224" priority="599" stopIfTrue="1">
      <formula>AG34="Water"</formula>
    </cfRule>
    <cfRule type="expression" dxfId="5223" priority="600" stopIfTrue="1">
      <formula>AG34="Land"</formula>
    </cfRule>
    <cfRule type="expression" dxfId="5222" priority="601" stopIfTrue="1">
      <formula>AQ35="Land"</formula>
    </cfRule>
  </conditionalFormatting>
  <conditionalFormatting sqref="AF34">
    <cfRule type="expression" dxfId="5221" priority="594" stopIfTrue="1">
      <formula>AG34="Water"</formula>
    </cfRule>
    <cfRule type="expression" dxfId="5220" priority="595" stopIfTrue="1">
      <formula>AF35="Water"</formula>
    </cfRule>
    <cfRule type="expression" dxfId="5219" priority="596" stopIfTrue="1">
      <formula>AG34="Land"</formula>
    </cfRule>
    <cfRule type="expression" dxfId="5218" priority="597" stopIfTrue="1">
      <formula>AF35="Land"</formula>
    </cfRule>
  </conditionalFormatting>
  <conditionalFormatting sqref="AH36:AO43">
    <cfRule type="expression" dxfId="5217" priority="593">
      <formula>AH36&lt;&gt;""</formula>
    </cfRule>
  </conditionalFormatting>
  <conditionalFormatting sqref="H48:O48">
    <cfRule type="expression" dxfId="5216" priority="592">
      <formula>H48="City Wall"</formula>
    </cfRule>
  </conditionalFormatting>
  <conditionalFormatting sqref="H57:O57">
    <cfRule type="expression" dxfId="5215" priority="591">
      <formula>H57="City Wall"</formula>
    </cfRule>
  </conditionalFormatting>
  <conditionalFormatting sqref="G49:G56">
    <cfRule type="expression" dxfId="5214" priority="590">
      <formula>G49="City Wall"</formula>
    </cfRule>
  </conditionalFormatting>
  <conditionalFormatting sqref="P49:P56">
    <cfRule type="expression" dxfId="5213" priority="589">
      <formula>P49="City Wall"</formula>
    </cfRule>
  </conditionalFormatting>
  <conditionalFormatting sqref="G48">
    <cfRule type="expression" dxfId="5212" priority="587">
      <formula>G49="City Wall"</formula>
    </cfRule>
    <cfRule type="expression" dxfId="5211" priority="588">
      <formula>H48="City Wall"</formula>
    </cfRule>
  </conditionalFormatting>
  <conditionalFormatting sqref="P48">
    <cfRule type="expression" dxfId="5210" priority="585">
      <formula>P49="City Wall"</formula>
    </cfRule>
    <cfRule type="expression" dxfId="5209" priority="586">
      <formula>H48="City Wall"</formula>
    </cfRule>
  </conditionalFormatting>
  <conditionalFormatting sqref="P57">
    <cfRule type="expression" dxfId="5208" priority="583">
      <formula>H57="City Wall"</formula>
    </cfRule>
    <cfRule type="expression" dxfId="5207" priority="584">
      <formula>P49="City Wall"</formula>
    </cfRule>
  </conditionalFormatting>
  <conditionalFormatting sqref="G57">
    <cfRule type="expression" dxfId="5206" priority="581">
      <formula>G49="City Wall"</formula>
    </cfRule>
    <cfRule type="expression" dxfId="5205" priority="582">
      <formula>H57="City Wall"</formula>
    </cfRule>
  </conditionalFormatting>
  <conditionalFormatting sqref="G58:P58">
    <cfRule type="expression" dxfId="5204" priority="579">
      <formula>G58="Land"</formula>
    </cfRule>
    <cfRule type="expression" dxfId="5203" priority="580">
      <formula>G58="Water"</formula>
    </cfRule>
  </conditionalFormatting>
  <conditionalFormatting sqref="Q58">
    <cfRule type="expression" dxfId="5202" priority="575" stopIfTrue="1">
      <formula>Q48="Water"</formula>
    </cfRule>
    <cfRule type="expression" dxfId="5201" priority="576" stopIfTrue="1">
      <formula>G58="Water"</formula>
    </cfRule>
    <cfRule type="expression" dxfId="5200" priority="577" stopIfTrue="1">
      <formula>G58="Land"</formula>
    </cfRule>
    <cfRule type="expression" dxfId="5199" priority="578" stopIfTrue="1">
      <formula>Q48="Land"</formula>
    </cfRule>
  </conditionalFormatting>
  <conditionalFormatting sqref="G47:P47">
    <cfRule type="expression" dxfId="5198" priority="573" stopIfTrue="1">
      <formula>G47="Water"</formula>
    </cfRule>
    <cfRule type="expression" dxfId="5197" priority="574" stopIfTrue="1">
      <formula>G47="Land"</formula>
    </cfRule>
  </conditionalFormatting>
  <conditionalFormatting sqref="F58">
    <cfRule type="expression" dxfId="5196" priority="569" stopIfTrue="1">
      <formula>F48="Water"</formula>
    </cfRule>
    <cfRule type="expression" dxfId="5195" priority="570" stopIfTrue="1">
      <formula>G58="Water"</formula>
    </cfRule>
    <cfRule type="expression" dxfId="5194" priority="571" stopIfTrue="1">
      <formula>G58="Land"</formula>
    </cfRule>
    <cfRule type="expression" dxfId="5193" priority="572" stopIfTrue="1">
      <formula>F48="Land"</formula>
    </cfRule>
  </conditionalFormatting>
  <conditionalFormatting sqref="F48:F57">
    <cfRule type="expression" dxfId="5192" priority="567" stopIfTrue="1">
      <formula>F48="Water"</formula>
    </cfRule>
    <cfRule type="expression" dxfId="5191" priority="568" stopIfTrue="1">
      <formula>F48="Land"</formula>
    </cfRule>
  </conditionalFormatting>
  <conditionalFormatting sqref="Q48:Q57">
    <cfRule type="expression" dxfId="5190" priority="565" stopIfTrue="1">
      <formula>Q48="Water"</formula>
    </cfRule>
    <cfRule type="expression" dxfId="5189" priority="566" stopIfTrue="1">
      <formula>Q48="Land"</formula>
    </cfRule>
  </conditionalFormatting>
  <conditionalFormatting sqref="Q47">
    <cfRule type="expression" dxfId="5188" priority="561" stopIfTrue="1">
      <formula>Q48="Water"</formula>
    </cfRule>
    <cfRule type="expression" dxfId="5187" priority="562" stopIfTrue="1">
      <formula>G47="Water"</formula>
    </cfRule>
    <cfRule type="expression" dxfId="5186" priority="563" stopIfTrue="1">
      <formula>G47="Land"</formula>
    </cfRule>
    <cfRule type="expression" dxfId="5185" priority="564" stopIfTrue="1">
      <formula>Q48="Land"</formula>
    </cfRule>
  </conditionalFormatting>
  <conditionalFormatting sqref="F47">
    <cfRule type="expression" dxfId="5184" priority="557" stopIfTrue="1">
      <formula>G47="Water"</formula>
    </cfRule>
    <cfRule type="expression" dxfId="5183" priority="558" stopIfTrue="1">
      <formula>F48="Water"</formula>
    </cfRule>
    <cfRule type="expression" dxfId="5182" priority="559" stopIfTrue="1">
      <formula>G47="Land"</formula>
    </cfRule>
    <cfRule type="expression" dxfId="5181" priority="560" stopIfTrue="1">
      <formula>F48="Land"</formula>
    </cfRule>
  </conditionalFormatting>
  <conditionalFormatting sqref="H49:O56">
    <cfRule type="expression" dxfId="5180" priority="556">
      <formula>H49&lt;&gt;""</formula>
    </cfRule>
  </conditionalFormatting>
  <conditionalFormatting sqref="U48:AB48">
    <cfRule type="expression" dxfId="5179" priority="555">
      <formula>U48="City Wall"</formula>
    </cfRule>
  </conditionalFormatting>
  <conditionalFormatting sqref="U57:AB57">
    <cfRule type="expression" dxfId="5178" priority="554">
      <formula>U57="City Wall"</formula>
    </cfRule>
  </conditionalFormatting>
  <conditionalFormatting sqref="T49:T56">
    <cfRule type="expression" dxfId="5177" priority="553">
      <formula>T49="City Wall"</formula>
    </cfRule>
  </conditionalFormatting>
  <conditionalFormatting sqref="AC49:AC56">
    <cfRule type="expression" dxfId="5176" priority="552">
      <formula>AC49="City Wall"</formula>
    </cfRule>
  </conditionalFormatting>
  <conditionalFormatting sqref="T48">
    <cfRule type="expression" dxfId="5175" priority="550">
      <formula>T49="City Wall"</formula>
    </cfRule>
    <cfRule type="expression" dxfId="5174" priority="551">
      <formula>U48="City Wall"</formula>
    </cfRule>
  </conditionalFormatting>
  <conditionalFormatting sqref="AC48">
    <cfRule type="expression" dxfId="5173" priority="548">
      <formula>AC49="City Wall"</formula>
    </cfRule>
    <cfRule type="expression" dxfId="5172" priority="549">
      <formula>U48="City Wall"</formula>
    </cfRule>
  </conditionalFormatting>
  <conditionalFormatting sqref="AC57">
    <cfRule type="expression" dxfId="5171" priority="546">
      <formula>U57="City Wall"</formula>
    </cfRule>
    <cfRule type="expression" dxfId="5170" priority="547">
      <formula>AC49="City Wall"</formula>
    </cfRule>
  </conditionalFormatting>
  <conditionalFormatting sqref="T57">
    <cfRule type="expression" dxfId="5169" priority="544">
      <formula>T49="City Wall"</formula>
    </cfRule>
    <cfRule type="expression" dxfId="5168" priority="545">
      <formula>U57="City Wall"</formula>
    </cfRule>
  </conditionalFormatting>
  <conditionalFormatting sqref="T58:AC58">
    <cfRule type="expression" dxfId="5167" priority="542">
      <formula>T58="Land"</formula>
    </cfRule>
    <cfRule type="expression" dxfId="5166" priority="543">
      <formula>T58="Water"</formula>
    </cfRule>
  </conditionalFormatting>
  <conditionalFormatting sqref="AD58">
    <cfRule type="expression" dxfId="5165" priority="538" stopIfTrue="1">
      <formula>AD48="Water"</formula>
    </cfRule>
    <cfRule type="expression" dxfId="5164" priority="539" stopIfTrue="1">
      <formula>T58="Water"</formula>
    </cfRule>
    <cfRule type="expression" dxfId="5163" priority="540" stopIfTrue="1">
      <formula>T58="Land"</formula>
    </cfRule>
    <cfRule type="expression" dxfId="5162" priority="541" stopIfTrue="1">
      <formula>AD48="Land"</formula>
    </cfRule>
  </conditionalFormatting>
  <conditionalFormatting sqref="T47:AC47">
    <cfRule type="expression" dxfId="5161" priority="536" stopIfTrue="1">
      <formula>T47="Water"</formula>
    </cfRule>
    <cfRule type="expression" dxfId="5160" priority="537" stopIfTrue="1">
      <formula>T47="Land"</formula>
    </cfRule>
  </conditionalFormatting>
  <conditionalFormatting sqref="S58">
    <cfRule type="expression" dxfId="5159" priority="532" stopIfTrue="1">
      <formula>S48="Water"</formula>
    </cfRule>
    <cfRule type="expression" dxfId="5158" priority="533" stopIfTrue="1">
      <formula>T58="Water"</formula>
    </cfRule>
    <cfRule type="expression" dxfId="5157" priority="534" stopIfTrue="1">
      <formula>T58="Land"</formula>
    </cfRule>
    <cfRule type="expression" dxfId="5156" priority="535" stopIfTrue="1">
      <formula>S48="Land"</formula>
    </cfRule>
  </conditionalFormatting>
  <conditionalFormatting sqref="S48:S57">
    <cfRule type="expression" dxfId="5155" priority="530" stopIfTrue="1">
      <formula>S48="Water"</formula>
    </cfRule>
    <cfRule type="expression" dxfId="5154" priority="531" stopIfTrue="1">
      <formula>S48="Land"</formula>
    </cfRule>
  </conditionalFormatting>
  <conditionalFormatting sqref="AD48:AD57">
    <cfRule type="expression" dxfId="5153" priority="528" stopIfTrue="1">
      <formula>AD48="Water"</formula>
    </cfRule>
    <cfRule type="expression" dxfId="5152" priority="529" stopIfTrue="1">
      <formula>AD48="Land"</formula>
    </cfRule>
  </conditionalFormatting>
  <conditionalFormatting sqref="AD47">
    <cfRule type="expression" dxfId="5151" priority="524" stopIfTrue="1">
      <formula>AD48="Water"</formula>
    </cfRule>
    <cfRule type="expression" dxfId="5150" priority="525" stopIfTrue="1">
      <formula>T47="Water"</formula>
    </cfRule>
    <cfRule type="expression" dxfId="5149" priority="526" stopIfTrue="1">
      <formula>T47="Land"</formula>
    </cfRule>
    <cfRule type="expression" dxfId="5148" priority="527" stopIfTrue="1">
      <formula>AD48="Land"</formula>
    </cfRule>
  </conditionalFormatting>
  <conditionalFormatting sqref="S47">
    <cfRule type="expression" dxfId="5147" priority="520" stopIfTrue="1">
      <formula>T47="Water"</formula>
    </cfRule>
    <cfRule type="expression" dxfId="5146" priority="521" stopIfTrue="1">
      <formula>S48="Water"</formula>
    </cfRule>
    <cfRule type="expression" dxfId="5145" priority="522" stopIfTrue="1">
      <formula>T47="Land"</formula>
    </cfRule>
    <cfRule type="expression" dxfId="5144" priority="523" stopIfTrue="1">
      <formula>S48="Land"</formula>
    </cfRule>
  </conditionalFormatting>
  <conditionalFormatting sqref="U49:AB56">
    <cfRule type="expression" dxfId="5143" priority="519">
      <formula>U49&lt;&gt;""</formula>
    </cfRule>
  </conditionalFormatting>
  <conditionalFormatting sqref="AH48:AO48">
    <cfRule type="expression" dxfId="5142" priority="518">
      <formula>AH48="City Wall"</formula>
    </cfRule>
  </conditionalFormatting>
  <conditionalFormatting sqref="AH57:AO57">
    <cfRule type="expression" dxfId="5141" priority="517">
      <formula>AH57="City Wall"</formula>
    </cfRule>
  </conditionalFormatting>
  <conditionalFormatting sqref="AG49:AG56">
    <cfRule type="expression" dxfId="5140" priority="516">
      <formula>AG49="City Wall"</formula>
    </cfRule>
  </conditionalFormatting>
  <conditionalFormatting sqref="AP49:AP56">
    <cfRule type="expression" dxfId="5139" priority="515">
      <formula>AP49="City Wall"</formula>
    </cfRule>
  </conditionalFormatting>
  <conditionalFormatting sqref="AG48">
    <cfRule type="expression" dxfId="5138" priority="513">
      <formula>AG49="City Wall"</formula>
    </cfRule>
    <cfRule type="expression" dxfId="5137" priority="514">
      <formula>AH48="City Wall"</formula>
    </cfRule>
  </conditionalFormatting>
  <conditionalFormatting sqref="AP48">
    <cfRule type="expression" dxfId="5136" priority="511">
      <formula>AP49="City Wall"</formula>
    </cfRule>
    <cfRule type="expression" dxfId="5135" priority="512">
      <formula>AH48="City Wall"</formula>
    </cfRule>
  </conditionalFormatting>
  <conditionalFormatting sqref="AP57">
    <cfRule type="expression" dxfId="5134" priority="509">
      <formula>AH57="City Wall"</formula>
    </cfRule>
    <cfRule type="expression" dxfId="5133" priority="510">
      <formula>AP49="City Wall"</formula>
    </cfRule>
  </conditionalFormatting>
  <conditionalFormatting sqref="AG57">
    <cfRule type="expression" dxfId="5132" priority="507">
      <formula>AG49="City Wall"</formula>
    </cfRule>
    <cfRule type="expression" dxfId="5131" priority="508">
      <formula>AH57="City Wall"</formula>
    </cfRule>
  </conditionalFormatting>
  <conditionalFormatting sqref="AG58:AP58">
    <cfRule type="expression" dxfId="5130" priority="505">
      <formula>AG58="Land"</formula>
    </cfRule>
    <cfRule type="expression" dxfId="5129" priority="506">
      <formula>AG58="Water"</formula>
    </cfRule>
  </conditionalFormatting>
  <conditionalFormatting sqref="AQ58">
    <cfRule type="expression" dxfId="5128" priority="501" stopIfTrue="1">
      <formula>AQ48="Water"</formula>
    </cfRule>
    <cfRule type="expression" dxfId="5127" priority="502" stopIfTrue="1">
      <formula>AG58="Water"</formula>
    </cfRule>
    <cfRule type="expression" dxfId="5126" priority="503" stopIfTrue="1">
      <formula>AG58="Land"</formula>
    </cfRule>
    <cfRule type="expression" dxfId="5125" priority="504" stopIfTrue="1">
      <formula>AQ48="Land"</formula>
    </cfRule>
  </conditionalFormatting>
  <conditionalFormatting sqref="AG47:AP47">
    <cfRule type="expression" dxfId="5124" priority="499" stopIfTrue="1">
      <formula>AG47="Water"</formula>
    </cfRule>
    <cfRule type="expression" dxfId="5123" priority="500" stopIfTrue="1">
      <formula>AG47="Land"</formula>
    </cfRule>
  </conditionalFormatting>
  <conditionalFormatting sqref="AF58">
    <cfRule type="expression" dxfId="5122" priority="495" stopIfTrue="1">
      <formula>AF48="Water"</formula>
    </cfRule>
    <cfRule type="expression" dxfId="5121" priority="496" stopIfTrue="1">
      <formula>AG58="Water"</formula>
    </cfRule>
    <cfRule type="expression" dxfId="5120" priority="497" stopIfTrue="1">
      <formula>AG58="Land"</formula>
    </cfRule>
    <cfRule type="expression" dxfId="5119" priority="498" stopIfTrue="1">
      <formula>AF48="Land"</formula>
    </cfRule>
  </conditionalFormatting>
  <conditionalFormatting sqref="AF48:AF57">
    <cfRule type="expression" dxfId="5118" priority="493" stopIfTrue="1">
      <formula>AF48="Water"</formula>
    </cfRule>
    <cfRule type="expression" dxfId="5117" priority="494" stopIfTrue="1">
      <formula>AF48="Land"</formula>
    </cfRule>
  </conditionalFormatting>
  <conditionalFormatting sqref="AQ48:AQ57">
    <cfRule type="expression" dxfId="5116" priority="491" stopIfTrue="1">
      <formula>AQ48="Water"</formula>
    </cfRule>
    <cfRule type="expression" dxfId="5115" priority="492" stopIfTrue="1">
      <formula>AQ48="Land"</formula>
    </cfRule>
  </conditionalFormatting>
  <conditionalFormatting sqref="AQ47">
    <cfRule type="expression" dxfId="5114" priority="487" stopIfTrue="1">
      <formula>AQ48="Water"</formula>
    </cfRule>
    <cfRule type="expression" dxfId="5113" priority="488" stopIfTrue="1">
      <formula>AG47="Water"</formula>
    </cfRule>
    <cfRule type="expression" dxfId="5112" priority="489" stopIfTrue="1">
      <formula>AG47="Land"</formula>
    </cfRule>
    <cfRule type="expression" dxfId="5111" priority="490" stopIfTrue="1">
      <formula>AQ48="Land"</formula>
    </cfRule>
  </conditionalFormatting>
  <conditionalFormatting sqref="AF47">
    <cfRule type="expression" dxfId="5110" priority="483" stopIfTrue="1">
      <formula>AG47="Water"</formula>
    </cfRule>
    <cfRule type="expression" dxfId="5109" priority="484" stopIfTrue="1">
      <formula>AF48="Water"</formula>
    </cfRule>
    <cfRule type="expression" dxfId="5108" priority="485" stopIfTrue="1">
      <formula>AG47="Land"</formula>
    </cfRule>
    <cfRule type="expression" dxfId="5107" priority="486" stopIfTrue="1">
      <formula>AF48="Land"</formula>
    </cfRule>
  </conditionalFormatting>
  <conditionalFormatting sqref="AH49:AO56">
    <cfRule type="expression" dxfId="5106" priority="482">
      <formula>AH49&lt;&gt;""</formula>
    </cfRule>
  </conditionalFormatting>
  <conditionalFormatting sqref="AU9:BB9">
    <cfRule type="expression" dxfId="5105" priority="481">
      <formula>AU9="City Wall"</formula>
    </cfRule>
  </conditionalFormatting>
  <conditionalFormatting sqref="AU18:BB18">
    <cfRule type="expression" dxfId="5104" priority="480">
      <formula>AU18="City Wall"</formula>
    </cfRule>
  </conditionalFormatting>
  <conditionalFormatting sqref="AT10:AT17">
    <cfRule type="expression" dxfId="5103" priority="479">
      <formula>AT10="City Wall"</formula>
    </cfRule>
  </conditionalFormatting>
  <conditionalFormatting sqref="BC10:BC17">
    <cfRule type="expression" dxfId="5102" priority="478">
      <formula>BC10="City Wall"</formula>
    </cfRule>
  </conditionalFormatting>
  <conditionalFormatting sqref="AT9">
    <cfRule type="expression" dxfId="5101" priority="476">
      <formula>AT10="City Wall"</formula>
    </cfRule>
    <cfRule type="expression" dxfId="5100" priority="477">
      <formula>AU9="City Wall"</formula>
    </cfRule>
  </conditionalFormatting>
  <conditionalFormatting sqref="BC9">
    <cfRule type="expression" dxfId="5099" priority="474">
      <formula>BC10="City Wall"</formula>
    </cfRule>
    <cfRule type="expression" dxfId="5098" priority="475">
      <formula>AU9="City Wall"</formula>
    </cfRule>
  </conditionalFormatting>
  <conditionalFormatting sqref="BC18">
    <cfRule type="expression" dxfId="5097" priority="472">
      <formula>AU18="City Wall"</formula>
    </cfRule>
    <cfRule type="expression" dxfId="5096" priority="473">
      <formula>BC10="City Wall"</formula>
    </cfRule>
  </conditionalFormatting>
  <conditionalFormatting sqref="AT18">
    <cfRule type="expression" dxfId="5095" priority="470">
      <formula>AT10="City Wall"</formula>
    </cfRule>
    <cfRule type="expression" dxfId="5094" priority="471">
      <formula>AU18="City Wall"</formula>
    </cfRule>
  </conditionalFormatting>
  <conditionalFormatting sqref="AT19:BC19">
    <cfRule type="expression" dxfId="5093" priority="468">
      <formula>AT19="Land"</formula>
    </cfRule>
    <cfRule type="expression" dxfId="5092" priority="469">
      <formula>AT19="Water"</formula>
    </cfRule>
  </conditionalFormatting>
  <conditionalFormatting sqref="BD19">
    <cfRule type="expression" dxfId="5091" priority="464" stopIfTrue="1">
      <formula>BD9="Water"</formula>
    </cfRule>
    <cfRule type="expression" dxfId="5090" priority="465" stopIfTrue="1">
      <formula>AT19="Water"</formula>
    </cfRule>
    <cfRule type="expression" dxfId="5089" priority="466" stopIfTrue="1">
      <formula>AT19="Land"</formula>
    </cfRule>
    <cfRule type="expression" dxfId="5088" priority="467" stopIfTrue="1">
      <formula>BD9="Land"</formula>
    </cfRule>
  </conditionalFormatting>
  <conditionalFormatting sqref="AT8:BC8">
    <cfRule type="expression" dxfId="5087" priority="462" stopIfTrue="1">
      <formula>AT8="Water"</formula>
    </cfRule>
    <cfRule type="expression" dxfId="5086" priority="463" stopIfTrue="1">
      <formula>AT8="Land"</formula>
    </cfRule>
  </conditionalFormatting>
  <conditionalFormatting sqref="AS19">
    <cfRule type="expression" dxfId="5085" priority="458" stopIfTrue="1">
      <formula>AS9="Water"</formula>
    </cfRule>
    <cfRule type="expression" dxfId="5084" priority="459" stopIfTrue="1">
      <formula>AT19="Water"</formula>
    </cfRule>
    <cfRule type="expression" dxfId="5083" priority="460" stopIfTrue="1">
      <formula>AT19="Land"</formula>
    </cfRule>
    <cfRule type="expression" dxfId="5082" priority="461" stopIfTrue="1">
      <formula>AS9="Land"</formula>
    </cfRule>
  </conditionalFormatting>
  <conditionalFormatting sqref="AS9:AS18">
    <cfRule type="expression" dxfId="5081" priority="456" stopIfTrue="1">
      <formula>AS9="Water"</formula>
    </cfRule>
    <cfRule type="expression" dxfId="5080" priority="457" stopIfTrue="1">
      <formula>AS9="Land"</formula>
    </cfRule>
  </conditionalFormatting>
  <conditionalFormatting sqref="BD9:BD18">
    <cfRule type="expression" dxfId="5079" priority="454" stopIfTrue="1">
      <formula>BD9="Water"</formula>
    </cfRule>
    <cfRule type="expression" dxfId="5078" priority="455" stopIfTrue="1">
      <formula>BD9="Land"</formula>
    </cfRule>
  </conditionalFormatting>
  <conditionalFormatting sqref="BD8">
    <cfRule type="expression" dxfId="5077" priority="450" stopIfTrue="1">
      <formula>BD9="Water"</formula>
    </cfRule>
    <cfRule type="expression" dxfId="5076" priority="451" stopIfTrue="1">
      <formula>AT8="Water"</formula>
    </cfRule>
    <cfRule type="expression" dxfId="5075" priority="452" stopIfTrue="1">
      <formula>AT8="Land"</formula>
    </cfRule>
    <cfRule type="expression" dxfId="5074" priority="453" stopIfTrue="1">
      <formula>BD9="Land"</formula>
    </cfRule>
  </conditionalFormatting>
  <conditionalFormatting sqref="AS8">
    <cfRule type="expression" dxfId="5073" priority="446" stopIfTrue="1">
      <formula>AT8="Water"</formula>
    </cfRule>
    <cfRule type="expression" dxfId="5072" priority="447" stopIfTrue="1">
      <formula>AS9="Water"</formula>
    </cfRule>
    <cfRule type="expression" dxfId="5071" priority="448" stopIfTrue="1">
      <formula>AT8="Land"</formula>
    </cfRule>
    <cfRule type="expression" dxfId="5070" priority="449" stopIfTrue="1">
      <formula>AS9="Land"</formula>
    </cfRule>
  </conditionalFormatting>
  <conditionalFormatting sqref="AU10:BB17">
    <cfRule type="expression" dxfId="5069" priority="445">
      <formula>AU10&lt;&gt;""</formula>
    </cfRule>
  </conditionalFormatting>
  <conditionalFormatting sqref="AU22:BB22">
    <cfRule type="expression" dxfId="5068" priority="444">
      <formula>AU22="City Wall"</formula>
    </cfRule>
  </conditionalFormatting>
  <conditionalFormatting sqref="AU31:BB31">
    <cfRule type="expression" dxfId="5067" priority="443">
      <formula>AU31="City Wall"</formula>
    </cfRule>
  </conditionalFormatting>
  <conditionalFormatting sqref="AT23:AT30">
    <cfRule type="expression" dxfId="5066" priority="442">
      <formula>AT23="City Wall"</formula>
    </cfRule>
  </conditionalFormatting>
  <conditionalFormatting sqref="BC23:BC30">
    <cfRule type="expression" dxfId="5065" priority="441">
      <formula>BC23="City Wall"</formula>
    </cfRule>
  </conditionalFormatting>
  <conditionalFormatting sqref="AT22">
    <cfRule type="expression" dxfId="5064" priority="439">
      <formula>AT23="City Wall"</formula>
    </cfRule>
    <cfRule type="expression" dxfId="5063" priority="440">
      <formula>AU22="City Wall"</formula>
    </cfRule>
  </conditionalFormatting>
  <conditionalFormatting sqref="BC22">
    <cfRule type="expression" dxfId="5062" priority="437">
      <formula>BC23="City Wall"</formula>
    </cfRule>
    <cfRule type="expression" dxfId="5061" priority="438">
      <formula>AU22="City Wall"</formula>
    </cfRule>
  </conditionalFormatting>
  <conditionalFormatting sqref="BC31">
    <cfRule type="expression" dxfId="5060" priority="435">
      <formula>AU31="City Wall"</formula>
    </cfRule>
    <cfRule type="expression" dxfId="5059" priority="436">
      <formula>BC23="City Wall"</formula>
    </cfRule>
  </conditionalFormatting>
  <conditionalFormatting sqref="AT31">
    <cfRule type="expression" dxfId="5058" priority="433">
      <formula>AT23="City Wall"</formula>
    </cfRule>
    <cfRule type="expression" dxfId="5057" priority="434">
      <formula>AU31="City Wall"</formula>
    </cfRule>
  </conditionalFormatting>
  <conditionalFormatting sqref="AT32:BC32">
    <cfRule type="expression" dxfId="5056" priority="431">
      <formula>AT32="Land"</formula>
    </cfRule>
    <cfRule type="expression" dxfId="5055" priority="432">
      <formula>AT32="Water"</formula>
    </cfRule>
  </conditionalFormatting>
  <conditionalFormatting sqref="BD32">
    <cfRule type="expression" dxfId="5054" priority="427" stopIfTrue="1">
      <formula>BD22="Water"</formula>
    </cfRule>
    <cfRule type="expression" dxfId="5053" priority="428" stopIfTrue="1">
      <formula>AT32="Water"</formula>
    </cfRule>
    <cfRule type="expression" dxfId="5052" priority="429" stopIfTrue="1">
      <formula>AT32="Land"</formula>
    </cfRule>
    <cfRule type="expression" dxfId="5051" priority="430" stopIfTrue="1">
      <formula>BD22="Land"</formula>
    </cfRule>
  </conditionalFormatting>
  <conditionalFormatting sqref="AT21:BC21">
    <cfRule type="expression" dxfId="5050" priority="425" stopIfTrue="1">
      <formula>AT21="Water"</formula>
    </cfRule>
    <cfRule type="expression" dxfId="5049" priority="426" stopIfTrue="1">
      <formula>AT21="Land"</formula>
    </cfRule>
  </conditionalFormatting>
  <conditionalFormatting sqref="AS32">
    <cfRule type="expression" dxfId="5048" priority="421" stopIfTrue="1">
      <formula>AS22="Water"</formula>
    </cfRule>
    <cfRule type="expression" dxfId="5047" priority="422" stopIfTrue="1">
      <formula>AT32="Water"</formula>
    </cfRule>
    <cfRule type="expression" dxfId="5046" priority="423" stopIfTrue="1">
      <formula>AT32="Land"</formula>
    </cfRule>
    <cfRule type="expression" dxfId="5045" priority="424" stopIfTrue="1">
      <formula>AS22="Land"</formula>
    </cfRule>
  </conditionalFormatting>
  <conditionalFormatting sqref="AS22:AS31">
    <cfRule type="expression" dxfId="5044" priority="419" stopIfTrue="1">
      <formula>AS22="Water"</formula>
    </cfRule>
    <cfRule type="expression" dxfId="5043" priority="420" stopIfTrue="1">
      <formula>AS22="Land"</formula>
    </cfRule>
  </conditionalFormatting>
  <conditionalFormatting sqref="BD22:BD31">
    <cfRule type="expression" dxfId="5042" priority="417" stopIfTrue="1">
      <formula>BD22="Water"</formula>
    </cfRule>
    <cfRule type="expression" dxfId="5041" priority="418" stopIfTrue="1">
      <formula>BD22="Land"</formula>
    </cfRule>
  </conditionalFormatting>
  <conditionalFormatting sqref="BD21">
    <cfRule type="expression" dxfId="5040" priority="413" stopIfTrue="1">
      <formula>BD22="Water"</formula>
    </cfRule>
    <cfRule type="expression" dxfId="5039" priority="414" stopIfTrue="1">
      <formula>AT21="Water"</formula>
    </cfRule>
    <cfRule type="expression" dxfId="5038" priority="415" stopIfTrue="1">
      <formula>AT21="Land"</formula>
    </cfRule>
    <cfRule type="expression" dxfId="5037" priority="416" stopIfTrue="1">
      <formula>BD22="Land"</formula>
    </cfRule>
  </conditionalFormatting>
  <conditionalFormatting sqref="AS21">
    <cfRule type="expression" dxfId="5036" priority="409" stopIfTrue="1">
      <formula>AT21="Water"</formula>
    </cfRule>
    <cfRule type="expression" dxfId="5035" priority="410" stopIfTrue="1">
      <formula>AS22="Water"</formula>
    </cfRule>
    <cfRule type="expression" dxfId="5034" priority="411" stopIfTrue="1">
      <formula>AT21="Land"</formula>
    </cfRule>
    <cfRule type="expression" dxfId="5033" priority="412" stopIfTrue="1">
      <formula>AS22="Land"</formula>
    </cfRule>
  </conditionalFormatting>
  <conditionalFormatting sqref="AU23:BB30">
    <cfRule type="expression" dxfId="5032" priority="408">
      <formula>AU23&lt;&gt;""</formula>
    </cfRule>
  </conditionalFormatting>
  <conditionalFormatting sqref="AU35:BB35">
    <cfRule type="expression" dxfId="5031" priority="407">
      <formula>AU35="City Wall"</formula>
    </cfRule>
  </conditionalFormatting>
  <conditionalFormatting sqref="AU44:BB44">
    <cfRule type="expression" dxfId="5030" priority="406">
      <formula>AU44="City Wall"</formula>
    </cfRule>
  </conditionalFormatting>
  <conditionalFormatting sqref="AT36:AT43">
    <cfRule type="expression" dxfId="5029" priority="405">
      <formula>AT36="City Wall"</formula>
    </cfRule>
  </conditionalFormatting>
  <conditionalFormatting sqref="BC36:BC43">
    <cfRule type="expression" dxfId="5028" priority="404">
      <formula>BC36="City Wall"</formula>
    </cfRule>
  </conditionalFormatting>
  <conditionalFormatting sqref="AT35">
    <cfRule type="expression" dxfId="5027" priority="402">
      <formula>AT36="City Wall"</formula>
    </cfRule>
    <cfRule type="expression" dxfId="5026" priority="403">
      <formula>AU35="City Wall"</formula>
    </cfRule>
  </conditionalFormatting>
  <conditionalFormatting sqref="BC35">
    <cfRule type="expression" dxfId="5025" priority="400">
      <formula>BC36="City Wall"</formula>
    </cfRule>
    <cfRule type="expression" dxfId="5024" priority="401">
      <formula>AU35="City Wall"</formula>
    </cfRule>
  </conditionalFormatting>
  <conditionalFormatting sqref="BC44">
    <cfRule type="expression" dxfId="5023" priority="398">
      <formula>AU44="City Wall"</formula>
    </cfRule>
    <cfRule type="expression" dxfId="5022" priority="399">
      <formula>BC36="City Wall"</formula>
    </cfRule>
  </conditionalFormatting>
  <conditionalFormatting sqref="AT44">
    <cfRule type="expression" dxfId="5021" priority="396">
      <formula>AT36="City Wall"</formula>
    </cfRule>
    <cfRule type="expression" dxfId="5020" priority="397">
      <formula>AU44="City Wall"</formula>
    </cfRule>
  </conditionalFormatting>
  <conditionalFormatting sqref="AT45:BC45">
    <cfRule type="expression" dxfId="5019" priority="394">
      <formula>AT45="Land"</formula>
    </cfRule>
    <cfRule type="expression" dxfId="5018" priority="395">
      <formula>AT45="Water"</formula>
    </cfRule>
  </conditionalFormatting>
  <conditionalFormatting sqref="BD45">
    <cfRule type="expression" dxfId="5017" priority="390" stopIfTrue="1">
      <formula>BD35="Water"</formula>
    </cfRule>
    <cfRule type="expression" dxfId="5016" priority="391" stopIfTrue="1">
      <formula>AT45="Water"</formula>
    </cfRule>
    <cfRule type="expression" dxfId="5015" priority="392" stopIfTrue="1">
      <formula>AT45="Land"</formula>
    </cfRule>
    <cfRule type="expression" dxfId="5014" priority="393" stopIfTrue="1">
      <formula>BD35="Land"</formula>
    </cfRule>
  </conditionalFormatting>
  <conditionalFormatting sqref="AT34:BC34">
    <cfRule type="expression" dxfId="5013" priority="388" stopIfTrue="1">
      <formula>AT34="Water"</formula>
    </cfRule>
    <cfRule type="expression" dxfId="5012" priority="389" stopIfTrue="1">
      <formula>AT34="Land"</formula>
    </cfRule>
  </conditionalFormatting>
  <conditionalFormatting sqref="AS45">
    <cfRule type="expression" dxfId="5011" priority="384" stopIfTrue="1">
      <formula>AS35="Water"</formula>
    </cfRule>
    <cfRule type="expression" dxfId="5010" priority="385" stopIfTrue="1">
      <formula>AT45="Water"</formula>
    </cfRule>
    <cfRule type="expression" dxfId="5009" priority="386" stopIfTrue="1">
      <formula>AT45="Land"</formula>
    </cfRule>
    <cfRule type="expression" dxfId="5008" priority="387" stopIfTrue="1">
      <formula>AS35="Land"</formula>
    </cfRule>
  </conditionalFormatting>
  <conditionalFormatting sqref="AS35:AS44">
    <cfRule type="expression" dxfId="5007" priority="382" stopIfTrue="1">
      <formula>AS35="Water"</formula>
    </cfRule>
    <cfRule type="expression" dxfId="5006" priority="383" stopIfTrue="1">
      <formula>AS35="Land"</formula>
    </cfRule>
  </conditionalFormatting>
  <conditionalFormatting sqref="BD35:BD44">
    <cfRule type="expression" dxfId="5005" priority="380" stopIfTrue="1">
      <formula>BD35="Water"</formula>
    </cfRule>
    <cfRule type="expression" dxfId="5004" priority="381" stopIfTrue="1">
      <formula>BD35="Land"</formula>
    </cfRule>
  </conditionalFormatting>
  <conditionalFormatting sqref="BD34">
    <cfRule type="expression" dxfId="5003" priority="376" stopIfTrue="1">
      <formula>BD35="Water"</formula>
    </cfRule>
    <cfRule type="expression" dxfId="5002" priority="377" stopIfTrue="1">
      <formula>AT34="Water"</formula>
    </cfRule>
    <cfRule type="expression" dxfId="5001" priority="378" stopIfTrue="1">
      <formula>AT34="Land"</formula>
    </cfRule>
    <cfRule type="expression" dxfId="5000" priority="379" stopIfTrue="1">
      <formula>BD35="Land"</formula>
    </cfRule>
  </conditionalFormatting>
  <conditionalFormatting sqref="AS34">
    <cfRule type="expression" dxfId="4999" priority="372" stopIfTrue="1">
      <formula>AT34="Water"</formula>
    </cfRule>
    <cfRule type="expression" dxfId="4998" priority="373" stopIfTrue="1">
      <formula>AS35="Water"</formula>
    </cfRule>
    <cfRule type="expression" dxfId="4997" priority="374" stopIfTrue="1">
      <formula>AT34="Land"</formula>
    </cfRule>
    <cfRule type="expression" dxfId="4996" priority="375" stopIfTrue="1">
      <formula>AS35="Land"</formula>
    </cfRule>
  </conditionalFormatting>
  <conditionalFormatting sqref="AU36:BB43">
    <cfRule type="expression" dxfId="4995" priority="371">
      <formula>AU36&lt;&gt;""</formula>
    </cfRule>
  </conditionalFormatting>
  <conditionalFormatting sqref="AU48:BB48">
    <cfRule type="expression" dxfId="4994" priority="370">
      <formula>AU48="City Wall"</formula>
    </cfRule>
  </conditionalFormatting>
  <conditionalFormatting sqref="AU57:BB57">
    <cfRule type="expression" dxfId="4993" priority="369">
      <formula>AU57="City Wall"</formula>
    </cfRule>
  </conditionalFormatting>
  <conditionalFormatting sqref="AT49:AT56">
    <cfRule type="expression" dxfId="4992" priority="368">
      <formula>AT49="City Wall"</formula>
    </cfRule>
  </conditionalFormatting>
  <conditionalFormatting sqref="BC49:BC56">
    <cfRule type="expression" dxfId="4991" priority="367">
      <formula>BC49="City Wall"</formula>
    </cfRule>
  </conditionalFormatting>
  <conditionalFormatting sqref="AT48">
    <cfRule type="expression" dxfId="4990" priority="365">
      <formula>AT49="City Wall"</formula>
    </cfRule>
    <cfRule type="expression" dxfId="4989" priority="366">
      <formula>AU48="City Wall"</formula>
    </cfRule>
  </conditionalFormatting>
  <conditionalFormatting sqref="BC48">
    <cfRule type="expression" dxfId="4988" priority="363">
      <formula>BC49="City Wall"</formula>
    </cfRule>
    <cfRule type="expression" dxfId="4987" priority="364">
      <formula>AU48="City Wall"</formula>
    </cfRule>
  </conditionalFormatting>
  <conditionalFormatting sqref="BC57">
    <cfRule type="expression" dxfId="4986" priority="361">
      <formula>AU57="City Wall"</formula>
    </cfRule>
    <cfRule type="expression" dxfId="4985" priority="362">
      <formula>BC49="City Wall"</formula>
    </cfRule>
  </conditionalFormatting>
  <conditionalFormatting sqref="AT57">
    <cfRule type="expression" dxfId="4984" priority="359">
      <formula>AT49="City Wall"</formula>
    </cfRule>
    <cfRule type="expression" dxfId="4983" priority="360">
      <formula>AU57="City Wall"</formula>
    </cfRule>
  </conditionalFormatting>
  <conditionalFormatting sqref="AT58:BC58">
    <cfRule type="expression" dxfId="4982" priority="357">
      <formula>AT58="Land"</formula>
    </cfRule>
    <cfRule type="expression" dxfId="4981" priority="358">
      <formula>AT58="Water"</formula>
    </cfRule>
  </conditionalFormatting>
  <conditionalFormatting sqref="BD58">
    <cfRule type="expression" dxfId="4980" priority="353" stopIfTrue="1">
      <formula>BD48="Water"</formula>
    </cfRule>
    <cfRule type="expression" dxfId="4979" priority="354" stopIfTrue="1">
      <formula>AT58="Water"</formula>
    </cfRule>
    <cfRule type="expression" dxfId="4978" priority="355" stopIfTrue="1">
      <formula>AT58="Land"</formula>
    </cfRule>
    <cfRule type="expression" dxfId="4977" priority="356" stopIfTrue="1">
      <formula>BD48="Land"</formula>
    </cfRule>
  </conditionalFormatting>
  <conditionalFormatting sqref="AT47:BC47">
    <cfRule type="expression" dxfId="4976" priority="351" stopIfTrue="1">
      <formula>AT47="Water"</formula>
    </cfRule>
    <cfRule type="expression" dxfId="4975" priority="352" stopIfTrue="1">
      <formula>AT47="Land"</formula>
    </cfRule>
  </conditionalFormatting>
  <conditionalFormatting sqref="AS58">
    <cfRule type="expression" dxfId="4974" priority="347" stopIfTrue="1">
      <formula>AS48="Water"</formula>
    </cfRule>
    <cfRule type="expression" dxfId="4973" priority="348" stopIfTrue="1">
      <formula>AT58="Water"</formula>
    </cfRule>
    <cfRule type="expression" dxfId="4972" priority="349" stopIfTrue="1">
      <formula>AT58="Land"</formula>
    </cfRule>
    <cfRule type="expression" dxfId="4971" priority="350" stopIfTrue="1">
      <formula>AS48="Land"</formula>
    </cfRule>
  </conditionalFormatting>
  <conditionalFormatting sqref="AS48:AS57">
    <cfRule type="expression" dxfId="4970" priority="345" stopIfTrue="1">
      <formula>AS48="Water"</formula>
    </cfRule>
    <cfRule type="expression" dxfId="4969" priority="346" stopIfTrue="1">
      <formula>AS48="Land"</formula>
    </cfRule>
  </conditionalFormatting>
  <conditionalFormatting sqref="BD48:BD57">
    <cfRule type="expression" dxfId="4968" priority="343" stopIfTrue="1">
      <formula>BD48="Water"</formula>
    </cfRule>
    <cfRule type="expression" dxfId="4967" priority="344" stopIfTrue="1">
      <formula>BD48="Land"</formula>
    </cfRule>
  </conditionalFormatting>
  <conditionalFormatting sqref="BD47">
    <cfRule type="expression" dxfId="4966" priority="339" stopIfTrue="1">
      <formula>BD48="Water"</formula>
    </cfRule>
    <cfRule type="expression" dxfId="4965" priority="340" stopIfTrue="1">
      <formula>AT47="Water"</formula>
    </cfRule>
    <cfRule type="expression" dxfId="4964" priority="341" stopIfTrue="1">
      <formula>AT47="Land"</formula>
    </cfRule>
    <cfRule type="expression" dxfId="4963" priority="342" stopIfTrue="1">
      <formula>BD48="Land"</formula>
    </cfRule>
  </conditionalFormatting>
  <conditionalFormatting sqref="AS47">
    <cfRule type="expression" dxfId="4962" priority="335" stopIfTrue="1">
      <formula>AT47="Water"</formula>
    </cfRule>
    <cfRule type="expression" dxfId="4961" priority="336" stopIfTrue="1">
      <formula>AS48="Water"</formula>
    </cfRule>
    <cfRule type="expression" dxfId="4960" priority="337" stopIfTrue="1">
      <formula>AT47="Land"</formula>
    </cfRule>
    <cfRule type="expression" dxfId="4959" priority="338" stopIfTrue="1">
      <formula>AS48="Land"</formula>
    </cfRule>
  </conditionalFormatting>
  <conditionalFormatting sqref="AU49:BB56">
    <cfRule type="expression" dxfId="4958" priority="334">
      <formula>AU49&lt;&gt;""</formula>
    </cfRule>
  </conditionalFormatting>
  <conditionalFormatting sqref="H61:O61">
    <cfRule type="expression" dxfId="4957" priority="333">
      <formula>H61="City Wall"</formula>
    </cfRule>
  </conditionalFormatting>
  <conditionalFormatting sqref="H70:O70">
    <cfRule type="expression" dxfId="4956" priority="332">
      <formula>H70="City Wall"</formula>
    </cfRule>
  </conditionalFormatting>
  <conditionalFormatting sqref="G62:G69">
    <cfRule type="expression" dxfId="4955" priority="331">
      <formula>G62="City Wall"</formula>
    </cfRule>
  </conditionalFormatting>
  <conditionalFormatting sqref="P62:P69">
    <cfRule type="expression" dxfId="4954" priority="330">
      <formula>P62="City Wall"</formula>
    </cfRule>
  </conditionalFormatting>
  <conditionalFormatting sqref="G61">
    <cfRule type="expression" dxfId="4953" priority="328">
      <formula>G62="City Wall"</formula>
    </cfRule>
    <cfRule type="expression" dxfId="4952" priority="329">
      <formula>H61="City Wall"</formula>
    </cfRule>
  </conditionalFormatting>
  <conditionalFormatting sqref="P61">
    <cfRule type="expression" dxfId="4951" priority="326">
      <formula>P62="City Wall"</formula>
    </cfRule>
    <cfRule type="expression" dxfId="4950" priority="327">
      <formula>H61="City Wall"</formula>
    </cfRule>
  </conditionalFormatting>
  <conditionalFormatting sqref="P70">
    <cfRule type="expression" dxfId="4949" priority="324">
      <formula>H70="City Wall"</formula>
    </cfRule>
    <cfRule type="expression" dxfId="4948" priority="325">
      <formula>P62="City Wall"</formula>
    </cfRule>
  </conditionalFormatting>
  <conditionalFormatting sqref="G70">
    <cfRule type="expression" dxfId="4947" priority="322">
      <formula>G62="City Wall"</formula>
    </cfRule>
    <cfRule type="expression" dxfId="4946" priority="323">
      <formula>H70="City Wall"</formula>
    </cfRule>
  </conditionalFormatting>
  <conditionalFormatting sqref="G71:P71">
    <cfRule type="expression" dxfId="4945" priority="320">
      <formula>G71="Land"</formula>
    </cfRule>
    <cfRule type="expression" dxfId="4944" priority="321">
      <formula>G71="Water"</formula>
    </cfRule>
  </conditionalFormatting>
  <conditionalFormatting sqref="Q71">
    <cfRule type="expression" dxfId="4943" priority="316" stopIfTrue="1">
      <formula>Q61="Water"</formula>
    </cfRule>
    <cfRule type="expression" dxfId="4942" priority="317" stopIfTrue="1">
      <formula>G71="Water"</formula>
    </cfRule>
    <cfRule type="expression" dxfId="4941" priority="318" stopIfTrue="1">
      <formula>G71="Land"</formula>
    </cfRule>
    <cfRule type="expression" dxfId="4940" priority="319" stopIfTrue="1">
      <formula>Q61="Land"</formula>
    </cfRule>
  </conditionalFormatting>
  <conditionalFormatting sqref="G60:P60">
    <cfRule type="expression" dxfId="4939" priority="314" stopIfTrue="1">
      <formula>G60="Water"</formula>
    </cfRule>
    <cfRule type="expression" dxfId="4938" priority="315" stopIfTrue="1">
      <formula>G60="Land"</formula>
    </cfRule>
  </conditionalFormatting>
  <conditionalFormatting sqref="F71">
    <cfRule type="expression" dxfId="4937" priority="310" stopIfTrue="1">
      <formula>F61="Water"</formula>
    </cfRule>
    <cfRule type="expression" dxfId="4936" priority="311" stopIfTrue="1">
      <formula>G71="Water"</formula>
    </cfRule>
    <cfRule type="expression" dxfId="4935" priority="312" stopIfTrue="1">
      <formula>G71="Land"</formula>
    </cfRule>
    <cfRule type="expression" dxfId="4934" priority="313" stopIfTrue="1">
      <formula>F61="Land"</formula>
    </cfRule>
  </conditionalFormatting>
  <conditionalFormatting sqref="F61:F70">
    <cfRule type="expression" dxfId="4933" priority="308" stopIfTrue="1">
      <formula>F61="Water"</formula>
    </cfRule>
    <cfRule type="expression" dxfId="4932" priority="309" stopIfTrue="1">
      <formula>F61="Land"</formula>
    </cfRule>
  </conditionalFormatting>
  <conditionalFormatting sqref="Q61:Q70">
    <cfRule type="expression" dxfId="4931" priority="306" stopIfTrue="1">
      <formula>Q61="Water"</formula>
    </cfRule>
    <cfRule type="expression" dxfId="4930" priority="307" stopIfTrue="1">
      <formula>Q61="Land"</formula>
    </cfRule>
  </conditionalFormatting>
  <conditionalFormatting sqref="Q60">
    <cfRule type="expression" dxfId="4929" priority="302" stopIfTrue="1">
      <formula>Q61="Water"</formula>
    </cfRule>
    <cfRule type="expression" dxfId="4928" priority="303" stopIfTrue="1">
      <formula>G60="Water"</formula>
    </cfRule>
    <cfRule type="expression" dxfId="4927" priority="304" stopIfTrue="1">
      <formula>G60="Land"</formula>
    </cfRule>
    <cfRule type="expression" dxfId="4926" priority="305" stopIfTrue="1">
      <formula>Q61="Land"</formula>
    </cfRule>
  </conditionalFormatting>
  <conditionalFormatting sqref="F60">
    <cfRule type="expression" dxfId="4925" priority="298" stopIfTrue="1">
      <formula>G60="Water"</formula>
    </cfRule>
    <cfRule type="expression" dxfId="4924" priority="299" stopIfTrue="1">
      <formula>F61="Water"</formula>
    </cfRule>
    <cfRule type="expression" dxfId="4923" priority="300" stopIfTrue="1">
      <formula>G60="Land"</formula>
    </cfRule>
    <cfRule type="expression" dxfId="4922" priority="301" stopIfTrue="1">
      <formula>F61="Land"</formula>
    </cfRule>
  </conditionalFormatting>
  <conditionalFormatting sqref="H62:O69">
    <cfRule type="expression" dxfId="4921" priority="297">
      <formula>H62&lt;&gt;""</formula>
    </cfRule>
  </conditionalFormatting>
  <conditionalFormatting sqref="U61:AB61">
    <cfRule type="expression" dxfId="4920" priority="296">
      <formula>U61="City Wall"</formula>
    </cfRule>
  </conditionalFormatting>
  <conditionalFormatting sqref="U70:AB70">
    <cfRule type="expression" dxfId="4919" priority="295">
      <formula>U70="City Wall"</formula>
    </cfRule>
  </conditionalFormatting>
  <conditionalFormatting sqref="T62:T69">
    <cfRule type="expression" dxfId="4918" priority="294">
      <formula>T62="City Wall"</formula>
    </cfRule>
  </conditionalFormatting>
  <conditionalFormatting sqref="AC62:AC69">
    <cfRule type="expression" dxfId="4917" priority="293">
      <formula>AC62="City Wall"</formula>
    </cfRule>
  </conditionalFormatting>
  <conditionalFormatting sqref="T61">
    <cfRule type="expression" dxfId="4916" priority="291">
      <formula>T62="City Wall"</formula>
    </cfRule>
    <cfRule type="expression" dxfId="4915" priority="292">
      <formula>U61="City Wall"</formula>
    </cfRule>
  </conditionalFormatting>
  <conditionalFormatting sqref="AC61">
    <cfRule type="expression" dxfId="4914" priority="289">
      <formula>AC62="City Wall"</formula>
    </cfRule>
    <cfRule type="expression" dxfId="4913" priority="290">
      <formula>U61="City Wall"</formula>
    </cfRule>
  </conditionalFormatting>
  <conditionalFormatting sqref="AC70">
    <cfRule type="expression" dxfId="4912" priority="287">
      <formula>U70="City Wall"</formula>
    </cfRule>
    <cfRule type="expression" dxfId="4911" priority="288">
      <formula>AC62="City Wall"</formula>
    </cfRule>
  </conditionalFormatting>
  <conditionalFormatting sqref="T70">
    <cfRule type="expression" dxfId="4910" priority="285">
      <formula>T62="City Wall"</formula>
    </cfRule>
    <cfRule type="expression" dxfId="4909" priority="286">
      <formula>U70="City Wall"</formula>
    </cfRule>
  </conditionalFormatting>
  <conditionalFormatting sqref="T71:AC71">
    <cfRule type="expression" dxfId="4908" priority="283">
      <formula>T71="Land"</formula>
    </cfRule>
    <cfRule type="expression" dxfId="4907" priority="284">
      <formula>T71="Water"</formula>
    </cfRule>
  </conditionalFormatting>
  <conditionalFormatting sqref="AD71">
    <cfRule type="expression" dxfId="4906" priority="279" stopIfTrue="1">
      <formula>AD61="Water"</formula>
    </cfRule>
    <cfRule type="expression" dxfId="4905" priority="280" stopIfTrue="1">
      <formula>T71="Water"</formula>
    </cfRule>
    <cfRule type="expression" dxfId="4904" priority="281" stopIfTrue="1">
      <formula>T71="Land"</formula>
    </cfRule>
    <cfRule type="expression" dxfId="4903" priority="282" stopIfTrue="1">
      <formula>AD61="Land"</formula>
    </cfRule>
  </conditionalFormatting>
  <conditionalFormatting sqref="T60:AC60">
    <cfRule type="expression" dxfId="4902" priority="277" stopIfTrue="1">
      <formula>T60="Water"</formula>
    </cfRule>
    <cfRule type="expression" dxfId="4901" priority="278" stopIfTrue="1">
      <formula>T60="Land"</formula>
    </cfRule>
  </conditionalFormatting>
  <conditionalFormatting sqref="S71">
    <cfRule type="expression" dxfId="4900" priority="273" stopIfTrue="1">
      <formula>S61="Water"</formula>
    </cfRule>
    <cfRule type="expression" dxfId="4899" priority="274" stopIfTrue="1">
      <formula>T71="Water"</formula>
    </cfRule>
    <cfRule type="expression" dxfId="4898" priority="275" stopIfTrue="1">
      <formula>T71="Land"</formula>
    </cfRule>
    <cfRule type="expression" dxfId="4897" priority="276" stopIfTrue="1">
      <formula>S61="Land"</formula>
    </cfRule>
  </conditionalFormatting>
  <conditionalFormatting sqref="S61:S70">
    <cfRule type="expression" dxfId="4896" priority="271" stopIfTrue="1">
      <formula>S61="Water"</formula>
    </cfRule>
    <cfRule type="expression" dxfId="4895" priority="272" stopIfTrue="1">
      <formula>S61="Land"</formula>
    </cfRule>
  </conditionalFormatting>
  <conditionalFormatting sqref="AD61:AD70">
    <cfRule type="expression" dxfId="4894" priority="269" stopIfTrue="1">
      <formula>AD61="Water"</formula>
    </cfRule>
    <cfRule type="expression" dxfId="4893" priority="270" stopIfTrue="1">
      <formula>AD61="Land"</formula>
    </cfRule>
  </conditionalFormatting>
  <conditionalFormatting sqref="AD60">
    <cfRule type="expression" dxfId="4892" priority="265" stopIfTrue="1">
      <formula>AD61="Water"</formula>
    </cfRule>
    <cfRule type="expression" dxfId="4891" priority="266" stopIfTrue="1">
      <formula>T60="Water"</formula>
    </cfRule>
    <cfRule type="expression" dxfId="4890" priority="267" stopIfTrue="1">
      <formula>T60="Land"</formula>
    </cfRule>
    <cfRule type="expression" dxfId="4889" priority="268" stopIfTrue="1">
      <formula>AD61="Land"</formula>
    </cfRule>
  </conditionalFormatting>
  <conditionalFormatting sqref="S60">
    <cfRule type="expression" dxfId="4888" priority="261" stopIfTrue="1">
      <formula>T60="Water"</formula>
    </cfRule>
    <cfRule type="expression" dxfId="4887" priority="262" stopIfTrue="1">
      <formula>S61="Water"</formula>
    </cfRule>
    <cfRule type="expression" dxfId="4886" priority="263" stopIfTrue="1">
      <formula>T60="Land"</formula>
    </cfRule>
    <cfRule type="expression" dxfId="4885" priority="264" stopIfTrue="1">
      <formula>S61="Land"</formula>
    </cfRule>
  </conditionalFormatting>
  <conditionalFormatting sqref="U62:AB69">
    <cfRule type="expression" dxfId="4884" priority="260">
      <formula>U62&lt;&gt;""</formula>
    </cfRule>
  </conditionalFormatting>
  <conditionalFormatting sqref="AH61:AO61">
    <cfRule type="expression" dxfId="4883" priority="259">
      <formula>AH61="City Wall"</formula>
    </cfRule>
  </conditionalFormatting>
  <conditionalFormatting sqref="AH70:AO70">
    <cfRule type="expression" dxfId="4882" priority="258">
      <formula>AH70="City Wall"</formula>
    </cfRule>
  </conditionalFormatting>
  <conditionalFormatting sqref="AG62:AG69">
    <cfRule type="expression" dxfId="4881" priority="257">
      <formula>AG62="City Wall"</formula>
    </cfRule>
  </conditionalFormatting>
  <conditionalFormatting sqref="AP62:AP69">
    <cfRule type="expression" dxfId="4880" priority="256">
      <formula>AP62="City Wall"</formula>
    </cfRule>
  </conditionalFormatting>
  <conditionalFormatting sqref="AG61">
    <cfRule type="expression" dxfId="4879" priority="254">
      <formula>AG62="City Wall"</formula>
    </cfRule>
    <cfRule type="expression" dxfId="4878" priority="255">
      <formula>AH61="City Wall"</formula>
    </cfRule>
  </conditionalFormatting>
  <conditionalFormatting sqref="AP61">
    <cfRule type="expression" dxfId="4877" priority="252">
      <formula>AP62="City Wall"</formula>
    </cfRule>
    <cfRule type="expression" dxfId="4876" priority="253">
      <formula>AH61="City Wall"</formula>
    </cfRule>
  </conditionalFormatting>
  <conditionalFormatting sqref="AP70">
    <cfRule type="expression" dxfId="4875" priority="250">
      <formula>AH70="City Wall"</formula>
    </cfRule>
    <cfRule type="expression" dxfId="4874" priority="251">
      <formula>AP62="City Wall"</formula>
    </cfRule>
  </conditionalFormatting>
  <conditionalFormatting sqref="AG70">
    <cfRule type="expression" dxfId="4873" priority="248">
      <formula>AG62="City Wall"</formula>
    </cfRule>
    <cfRule type="expression" dxfId="4872" priority="249">
      <formula>AH70="City Wall"</formula>
    </cfRule>
  </conditionalFormatting>
  <conditionalFormatting sqref="AG71:AP71">
    <cfRule type="expression" dxfId="4871" priority="246">
      <formula>AG71="Land"</formula>
    </cfRule>
    <cfRule type="expression" dxfId="4870" priority="247">
      <formula>AG71="Water"</formula>
    </cfRule>
  </conditionalFormatting>
  <conditionalFormatting sqref="AQ71">
    <cfRule type="expression" dxfId="4869" priority="242" stopIfTrue="1">
      <formula>AQ61="Water"</formula>
    </cfRule>
    <cfRule type="expression" dxfId="4868" priority="243" stopIfTrue="1">
      <formula>AG71="Water"</formula>
    </cfRule>
    <cfRule type="expression" dxfId="4867" priority="244" stopIfTrue="1">
      <formula>AG71="Land"</formula>
    </cfRule>
    <cfRule type="expression" dxfId="4866" priority="245" stopIfTrue="1">
      <formula>AQ61="Land"</formula>
    </cfRule>
  </conditionalFormatting>
  <conditionalFormatting sqref="AG60:AP60">
    <cfRule type="expression" dxfId="4865" priority="240" stopIfTrue="1">
      <formula>AG60="Water"</formula>
    </cfRule>
    <cfRule type="expression" dxfId="4864" priority="241" stopIfTrue="1">
      <formula>AG60="Land"</formula>
    </cfRule>
  </conditionalFormatting>
  <conditionalFormatting sqref="AF71">
    <cfRule type="expression" dxfId="4863" priority="236" stopIfTrue="1">
      <formula>AF61="Water"</formula>
    </cfRule>
    <cfRule type="expression" dxfId="4862" priority="237" stopIfTrue="1">
      <formula>AG71="Water"</formula>
    </cfRule>
    <cfRule type="expression" dxfId="4861" priority="238" stopIfTrue="1">
      <formula>AG71="Land"</formula>
    </cfRule>
    <cfRule type="expression" dxfId="4860" priority="239" stopIfTrue="1">
      <formula>AF61="Land"</formula>
    </cfRule>
  </conditionalFormatting>
  <conditionalFormatting sqref="AF61:AF70">
    <cfRule type="expression" dxfId="4859" priority="234" stopIfTrue="1">
      <formula>AF61="Water"</formula>
    </cfRule>
    <cfRule type="expression" dxfId="4858" priority="235" stopIfTrue="1">
      <formula>AF61="Land"</formula>
    </cfRule>
  </conditionalFormatting>
  <conditionalFormatting sqref="AQ61:AQ70">
    <cfRule type="expression" dxfId="4857" priority="232" stopIfTrue="1">
      <formula>AQ61="Water"</formula>
    </cfRule>
    <cfRule type="expression" dxfId="4856" priority="233" stopIfTrue="1">
      <formula>AQ61="Land"</formula>
    </cfRule>
  </conditionalFormatting>
  <conditionalFormatting sqref="AQ60">
    <cfRule type="expression" dxfId="4855" priority="228" stopIfTrue="1">
      <formula>AQ61="Water"</formula>
    </cfRule>
    <cfRule type="expression" dxfId="4854" priority="229" stopIfTrue="1">
      <formula>AG60="Water"</formula>
    </cfRule>
    <cfRule type="expression" dxfId="4853" priority="230" stopIfTrue="1">
      <formula>AG60="Land"</formula>
    </cfRule>
    <cfRule type="expression" dxfId="4852" priority="231" stopIfTrue="1">
      <formula>AQ61="Land"</formula>
    </cfRule>
  </conditionalFormatting>
  <conditionalFormatting sqref="AF60">
    <cfRule type="expression" dxfId="4851" priority="224" stopIfTrue="1">
      <formula>AG60="Water"</formula>
    </cfRule>
    <cfRule type="expression" dxfId="4850" priority="225" stopIfTrue="1">
      <formula>AF61="Water"</formula>
    </cfRule>
    <cfRule type="expression" dxfId="4849" priority="226" stopIfTrue="1">
      <formula>AG60="Land"</formula>
    </cfRule>
    <cfRule type="expression" dxfId="4848" priority="227" stopIfTrue="1">
      <formula>AF61="Land"</formula>
    </cfRule>
  </conditionalFormatting>
  <conditionalFormatting sqref="AH62:AO69">
    <cfRule type="expression" dxfId="4847" priority="223">
      <formula>AH62&lt;&gt;""</formula>
    </cfRule>
  </conditionalFormatting>
  <conditionalFormatting sqref="AU61:BB61">
    <cfRule type="expression" dxfId="4846" priority="222">
      <formula>AU61="City Wall"</formula>
    </cfRule>
  </conditionalFormatting>
  <conditionalFormatting sqref="AU70:BB70">
    <cfRule type="expression" dxfId="4845" priority="221">
      <formula>AU70="City Wall"</formula>
    </cfRule>
  </conditionalFormatting>
  <conditionalFormatting sqref="AT62:AT69">
    <cfRule type="expression" dxfId="4844" priority="220">
      <formula>AT62="City Wall"</formula>
    </cfRule>
  </conditionalFormatting>
  <conditionalFormatting sqref="BC62:BC69">
    <cfRule type="expression" dxfId="4843" priority="219">
      <formula>BC62="City Wall"</formula>
    </cfRule>
  </conditionalFormatting>
  <conditionalFormatting sqref="AT61">
    <cfRule type="expression" dxfId="4842" priority="217">
      <formula>AT62="City Wall"</formula>
    </cfRule>
    <cfRule type="expression" dxfId="4841" priority="218">
      <formula>AU61="City Wall"</formula>
    </cfRule>
  </conditionalFormatting>
  <conditionalFormatting sqref="BC61">
    <cfRule type="expression" dxfId="4840" priority="215">
      <formula>BC62="City Wall"</formula>
    </cfRule>
    <cfRule type="expression" dxfId="4839" priority="216">
      <formula>AU61="City Wall"</formula>
    </cfRule>
  </conditionalFormatting>
  <conditionalFormatting sqref="BC70">
    <cfRule type="expression" dxfId="4838" priority="213">
      <formula>AU70="City Wall"</formula>
    </cfRule>
    <cfRule type="expression" dxfId="4837" priority="214">
      <formula>BC62="City Wall"</formula>
    </cfRule>
  </conditionalFormatting>
  <conditionalFormatting sqref="AT70">
    <cfRule type="expression" dxfId="4836" priority="211">
      <formula>AT62="City Wall"</formula>
    </cfRule>
    <cfRule type="expression" dxfId="4835" priority="212">
      <formula>AU70="City Wall"</formula>
    </cfRule>
  </conditionalFormatting>
  <conditionalFormatting sqref="AT71:BC71">
    <cfRule type="expression" dxfId="4834" priority="209">
      <formula>AT71="Land"</formula>
    </cfRule>
    <cfRule type="expression" dxfId="4833" priority="210">
      <formula>AT71="Water"</formula>
    </cfRule>
  </conditionalFormatting>
  <conditionalFormatting sqref="BD71">
    <cfRule type="expression" dxfId="4832" priority="205" stopIfTrue="1">
      <formula>BD61="Water"</formula>
    </cfRule>
    <cfRule type="expression" dxfId="4831" priority="206" stopIfTrue="1">
      <formula>AT71="Water"</formula>
    </cfRule>
    <cfRule type="expression" dxfId="4830" priority="207" stopIfTrue="1">
      <formula>AT71="Land"</formula>
    </cfRule>
    <cfRule type="expression" dxfId="4829" priority="208" stopIfTrue="1">
      <formula>BD61="Land"</formula>
    </cfRule>
  </conditionalFormatting>
  <conditionalFormatting sqref="AT60:BC60">
    <cfRule type="expression" dxfId="4828" priority="203" stopIfTrue="1">
      <formula>AT60="Water"</formula>
    </cfRule>
    <cfRule type="expression" dxfId="4827" priority="204" stopIfTrue="1">
      <formula>AT60="Land"</formula>
    </cfRule>
  </conditionalFormatting>
  <conditionalFormatting sqref="AS71">
    <cfRule type="expression" dxfId="4826" priority="199" stopIfTrue="1">
      <formula>AS61="Water"</formula>
    </cfRule>
    <cfRule type="expression" dxfId="4825" priority="200" stopIfTrue="1">
      <formula>AT71="Water"</formula>
    </cfRule>
    <cfRule type="expression" dxfId="4824" priority="201" stopIfTrue="1">
      <formula>AT71="Land"</formula>
    </cfRule>
    <cfRule type="expression" dxfId="4823" priority="202" stopIfTrue="1">
      <formula>AS61="Land"</formula>
    </cfRule>
  </conditionalFormatting>
  <conditionalFormatting sqref="AS61:AS70">
    <cfRule type="expression" dxfId="4822" priority="197" stopIfTrue="1">
      <formula>AS61="Water"</formula>
    </cfRule>
    <cfRule type="expression" dxfId="4821" priority="198" stopIfTrue="1">
      <formula>AS61="Land"</formula>
    </cfRule>
  </conditionalFormatting>
  <conditionalFormatting sqref="BD61:BD70">
    <cfRule type="expression" dxfId="4820" priority="195" stopIfTrue="1">
      <formula>BD61="Water"</formula>
    </cfRule>
    <cfRule type="expression" dxfId="4819" priority="196" stopIfTrue="1">
      <formula>BD61="Land"</formula>
    </cfRule>
  </conditionalFormatting>
  <conditionalFormatting sqref="BD60">
    <cfRule type="expression" dxfId="4818" priority="191" stopIfTrue="1">
      <formula>BD61="Water"</formula>
    </cfRule>
    <cfRule type="expression" dxfId="4817" priority="192" stopIfTrue="1">
      <formula>AT60="Water"</formula>
    </cfRule>
    <cfRule type="expression" dxfId="4816" priority="193" stopIfTrue="1">
      <formula>AT60="Land"</formula>
    </cfRule>
    <cfRule type="expression" dxfId="4815" priority="194" stopIfTrue="1">
      <formula>BD61="Land"</formula>
    </cfRule>
  </conditionalFormatting>
  <conditionalFormatting sqref="AS60">
    <cfRule type="expression" dxfId="4814" priority="187" stopIfTrue="1">
      <formula>AT60="Water"</formula>
    </cfRule>
    <cfRule type="expression" dxfId="4813" priority="188" stopIfTrue="1">
      <formula>AS61="Water"</formula>
    </cfRule>
    <cfRule type="expression" dxfId="4812" priority="189" stopIfTrue="1">
      <formula>AT60="Land"</formula>
    </cfRule>
    <cfRule type="expression" dxfId="4811" priority="190" stopIfTrue="1">
      <formula>AS61="Land"</formula>
    </cfRule>
  </conditionalFormatting>
  <conditionalFormatting sqref="AU62:BB69">
    <cfRule type="expression" dxfId="4810" priority="186">
      <formula>AU62&lt;&gt;""</formula>
    </cfRule>
  </conditionalFormatting>
  <conditionalFormatting sqref="BH9:BO9">
    <cfRule type="expression" dxfId="4809" priority="185">
      <formula>BH9="City Wall"</formula>
    </cfRule>
  </conditionalFormatting>
  <conditionalFormatting sqref="BH18:BO18">
    <cfRule type="expression" dxfId="4808" priority="184">
      <formula>BH18="City Wall"</formula>
    </cfRule>
  </conditionalFormatting>
  <conditionalFormatting sqref="BG10:BG17">
    <cfRule type="expression" dxfId="4807" priority="183">
      <formula>BG10="City Wall"</formula>
    </cfRule>
  </conditionalFormatting>
  <conditionalFormatting sqref="BP10:BP17">
    <cfRule type="expression" dxfId="4806" priority="182">
      <formula>BP10="City Wall"</formula>
    </cfRule>
  </conditionalFormatting>
  <conditionalFormatting sqref="BG9">
    <cfRule type="expression" dxfId="4805" priority="180">
      <formula>BG10="City Wall"</formula>
    </cfRule>
    <cfRule type="expression" dxfId="4804" priority="181">
      <formula>BH9="City Wall"</formula>
    </cfRule>
  </conditionalFormatting>
  <conditionalFormatting sqref="BP9">
    <cfRule type="expression" dxfId="4803" priority="178">
      <formula>BP10="City Wall"</formula>
    </cfRule>
    <cfRule type="expression" dxfId="4802" priority="179">
      <formula>BH9="City Wall"</formula>
    </cfRule>
  </conditionalFormatting>
  <conditionalFormatting sqref="BP18">
    <cfRule type="expression" dxfId="4801" priority="176">
      <formula>BH18="City Wall"</formula>
    </cfRule>
    <cfRule type="expression" dxfId="4800" priority="177">
      <formula>BP10="City Wall"</formula>
    </cfRule>
  </conditionalFormatting>
  <conditionalFormatting sqref="BG18">
    <cfRule type="expression" dxfId="4799" priority="174">
      <formula>BG10="City Wall"</formula>
    </cfRule>
    <cfRule type="expression" dxfId="4798" priority="175">
      <formula>BH18="City Wall"</formula>
    </cfRule>
  </conditionalFormatting>
  <conditionalFormatting sqref="BG19:BP19">
    <cfRule type="expression" dxfId="4797" priority="172">
      <formula>BG19="Land"</formula>
    </cfRule>
    <cfRule type="expression" dxfId="4796" priority="173">
      <formula>BG19="Water"</formula>
    </cfRule>
  </conditionalFormatting>
  <conditionalFormatting sqref="BQ19">
    <cfRule type="expression" dxfId="4795" priority="168" stopIfTrue="1">
      <formula>BQ9="Water"</formula>
    </cfRule>
    <cfRule type="expression" dxfId="4794" priority="169" stopIfTrue="1">
      <formula>BG19="Water"</formula>
    </cfRule>
    <cfRule type="expression" dxfId="4793" priority="170" stopIfTrue="1">
      <formula>BG19="Land"</formula>
    </cfRule>
    <cfRule type="expression" dxfId="4792" priority="171" stopIfTrue="1">
      <formula>BQ9="Land"</formula>
    </cfRule>
  </conditionalFormatting>
  <conditionalFormatting sqref="BG8:BP8">
    <cfRule type="expression" dxfId="4791" priority="166" stopIfTrue="1">
      <formula>BG8="Water"</formula>
    </cfRule>
    <cfRule type="expression" dxfId="4790" priority="167" stopIfTrue="1">
      <formula>BG8="Land"</formula>
    </cfRule>
  </conditionalFormatting>
  <conditionalFormatting sqref="BF19">
    <cfRule type="expression" dxfId="4789" priority="162" stopIfTrue="1">
      <formula>BF9="Water"</formula>
    </cfRule>
    <cfRule type="expression" dxfId="4788" priority="163" stopIfTrue="1">
      <formula>BG19="Water"</formula>
    </cfRule>
    <cfRule type="expression" dxfId="4787" priority="164" stopIfTrue="1">
      <formula>BG19="Land"</formula>
    </cfRule>
    <cfRule type="expression" dxfId="4786" priority="165" stopIfTrue="1">
      <formula>BF9="Land"</formula>
    </cfRule>
  </conditionalFormatting>
  <conditionalFormatting sqref="BF9:BF18">
    <cfRule type="expression" dxfId="4785" priority="160" stopIfTrue="1">
      <formula>BF9="Water"</formula>
    </cfRule>
    <cfRule type="expression" dxfId="4784" priority="161" stopIfTrue="1">
      <formula>BF9="Land"</formula>
    </cfRule>
  </conditionalFormatting>
  <conditionalFormatting sqref="BQ9:BQ18">
    <cfRule type="expression" dxfId="4783" priority="158" stopIfTrue="1">
      <formula>BQ9="Water"</formula>
    </cfRule>
    <cfRule type="expression" dxfId="4782" priority="159" stopIfTrue="1">
      <formula>BQ9="Land"</formula>
    </cfRule>
  </conditionalFormatting>
  <conditionalFormatting sqref="BQ8">
    <cfRule type="expression" dxfId="4781" priority="154" stopIfTrue="1">
      <formula>BQ9="Water"</formula>
    </cfRule>
    <cfRule type="expression" dxfId="4780" priority="155" stopIfTrue="1">
      <formula>BG8="Water"</formula>
    </cfRule>
    <cfRule type="expression" dxfId="4779" priority="156" stopIfTrue="1">
      <formula>BG8="Land"</formula>
    </cfRule>
    <cfRule type="expression" dxfId="4778" priority="157" stopIfTrue="1">
      <formula>BQ9="Land"</formula>
    </cfRule>
  </conditionalFormatting>
  <conditionalFormatting sqref="BF8">
    <cfRule type="expression" dxfId="4777" priority="150" stopIfTrue="1">
      <formula>BG8="Water"</formula>
    </cfRule>
    <cfRule type="expression" dxfId="4776" priority="151" stopIfTrue="1">
      <formula>BF9="Water"</formula>
    </cfRule>
    <cfRule type="expression" dxfId="4775" priority="152" stopIfTrue="1">
      <formula>BG8="Land"</formula>
    </cfRule>
    <cfRule type="expression" dxfId="4774" priority="153" stopIfTrue="1">
      <formula>BF9="Land"</formula>
    </cfRule>
  </conditionalFormatting>
  <conditionalFormatting sqref="BH10:BO17">
    <cfRule type="expression" dxfId="4773" priority="149">
      <formula>BH10&lt;&gt;""</formula>
    </cfRule>
  </conditionalFormatting>
  <conditionalFormatting sqref="BH22:BO22">
    <cfRule type="expression" dxfId="4772" priority="148">
      <formula>BH22="City Wall"</formula>
    </cfRule>
  </conditionalFormatting>
  <conditionalFormatting sqref="BH31:BO31">
    <cfRule type="expression" dxfId="4771" priority="147">
      <formula>BH31="City Wall"</formula>
    </cfRule>
  </conditionalFormatting>
  <conditionalFormatting sqref="BG23:BG30">
    <cfRule type="expression" dxfId="4770" priority="146">
      <formula>BG23="City Wall"</formula>
    </cfRule>
  </conditionalFormatting>
  <conditionalFormatting sqref="BP23:BP30">
    <cfRule type="expression" dxfId="4769" priority="145">
      <formula>BP23="City Wall"</formula>
    </cfRule>
  </conditionalFormatting>
  <conditionalFormatting sqref="BG22">
    <cfRule type="expression" dxfId="4768" priority="143">
      <formula>BG23="City Wall"</formula>
    </cfRule>
    <cfRule type="expression" dxfId="4767" priority="144">
      <formula>BH22="City Wall"</formula>
    </cfRule>
  </conditionalFormatting>
  <conditionalFormatting sqref="BP22">
    <cfRule type="expression" dxfId="4766" priority="141">
      <formula>BP23="City Wall"</formula>
    </cfRule>
    <cfRule type="expression" dxfId="4765" priority="142">
      <formula>BH22="City Wall"</formula>
    </cfRule>
  </conditionalFormatting>
  <conditionalFormatting sqref="BP31">
    <cfRule type="expression" dxfId="4764" priority="139">
      <formula>BH31="City Wall"</formula>
    </cfRule>
    <cfRule type="expression" dxfId="4763" priority="140">
      <formula>BP23="City Wall"</formula>
    </cfRule>
  </conditionalFormatting>
  <conditionalFormatting sqref="BG31">
    <cfRule type="expression" dxfId="4762" priority="137">
      <formula>BG23="City Wall"</formula>
    </cfRule>
    <cfRule type="expression" dxfId="4761" priority="138">
      <formula>BH31="City Wall"</formula>
    </cfRule>
  </conditionalFormatting>
  <conditionalFormatting sqref="BG32:BP32">
    <cfRule type="expression" dxfId="4760" priority="135">
      <formula>BG32="Land"</formula>
    </cfRule>
    <cfRule type="expression" dxfId="4759" priority="136">
      <formula>BG32="Water"</formula>
    </cfRule>
  </conditionalFormatting>
  <conditionalFormatting sqref="BQ32">
    <cfRule type="expression" dxfId="4758" priority="131" stopIfTrue="1">
      <formula>BQ22="Water"</formula>
    </cfRule>
    <cfRule type="expression" dxfId="4757" priority="132" stopIfTrue="1">
      <formula>BG32="Water"</formula>
    </cfRule>
    <cfRule type="expression" dxfId="4756" priority="133" stopIfTrue="1">
      <formula>BG32="Land"</formula>
    </cfRule>
    <cfRule type="expression" dxfId="4755" priority="134" stopIfTrue="1">
      <formula>BQ22="Land"</formula>
    </cfRule>
  </conditionalFormatting>
  <conditionalFormatting sqref="BG21:BP21">
    <cfRule type="expression" dxfId="4754" priority="129" stopIfTrue="1">
      <formula>BG21="Water"</formula>
    </cfRule>
    <cfRule type="expression" dxfId="4753" priority="130" stopIfTrue="1">
      <formula>BG21="Land"</formula>
    </cfRule>
  </conditionalFormatting>
  <conditionalFormatting sqref="BF32">
    <cfRule type="expression" dxfId="4752" priority="125" stopIfTrue="1">
      <formula>BF22="Water"</formula>
    </cfRule>
    <cfRule type="expression" dxfId="4751" priority="126" stopIfTrue="1">
      <formula>BG32="Water"</formula>
    </cfRule>
    <cfRule type="expression" dxfId="4750" priority="127" stopIfTrue="1">
      <formula>BG32="Land"</formula>
    </cfRule>
    <cfRule type="expression" dxfId="4749" priority="128" stopIfTrue="1">
      <formula>BF22="Land"</formula>
    </cfRule>
  </conditionalFormatting>
  <conditionalFormatting sqref="BF22:BF31">
    <cfRule type="expression" dxfId="4748" priority="123" stopIfTrue="1">
      <formula>BF22="Water"</formula>
    </cfRule>
    <cfRule type="expression" dxfId="4747" priority="124" stopIfTrue="1">
      <formula>BF22="Land"</formula>
    </cfRule>
  </conditionalFormatting>
  <conditionalFormatting sqref="BQ22:BQ31">
    <cfRule type="expression" dxfId="4746" priority="121" stopIfTrue="1">
      <formula>BQ22="Water"</formula>
    </cfRule>
    <cfRule type="expression" dxfId="4745" priority="122" stopIfTrue="1">
      <formula>BQ22="Land"</formula>
    </cfRule>
  </conditionalFormatting>
  <conditionalFormatting sqref="BQ21">
    <cfRule type="expression" dxfId="4744" priority="117" stopIfTrue="1">
      <formula>BQ22="Water"</formula>
    </cfRule>
    <cfRule type="expression" dxfId="4743" priority="118" stopIfTrue="1">
      <formula>BG21="Water"</formula>
    </cfRule>
    <cfRule type="expression" dxfId="4742" priority="119" stopIfTrue="1">
      <formula>BG21="Land"</formula>
    </cfRule>
    <cfRule type="expression" dxfId="4741" priority="120" stopIfTrue="1">
      <formula>BQ22="Land"</formula>
    </cfRule>
  </conditionalFormatting>
  <conditionalFormatting sqref="BF21">
    <cfRule type="expression" dxfId="4740" priority="113" stopIfTrue="1">
      <formula>BG21="Water"</formula>
    </cfRule>
    <cfRule type="expression" dxfId="4739" priority="114" stopIfTrue="1">
      <formula>BF22="Water"</formula>
    </cfRule>
    <cfRule type="expression" dxfId="4738" priority="115" stopIfTrue="1">
      <formula>BG21="Land"</formula>
    </cfRule>
    <cfRule type="expression" dxfId="4737" priority="116" stopIfTrue="1">
      <formula>BF22="Land"</formula>
    </cfRule>
  </conditionalFormatting>
  <conditionalFormatting sqref="BH23:BO30">
    <cfRule type="expression" dxfId="4736" priority="112">
      <formula>BH23&lt;&gt;""</formula>
    </cfRule>
  </conditionalFormatting>
  <conditionalFormatting sqref="BH35:BO35">
    <cfRule type="expression" dxfId="4735" priority="111">
      <formula>BH35="City Wall"</formula>
    </cfRule>
  </conditionalFormatting>
  <conditionalFormatting sqref="BH44:BO44">
    <cfRule type="expression" dxfId="4734" priority="110">
      <formula>BH44="City Wall"</formula>
    </cfRule>
  </conditionalFormatting>
  <conditionalFormatting sqref="BG36:BG43">
    <cfRule type="expression" dxfId="4733" priority="109">
      <formula>BG36="City Wall"</formula>
    </cfRule>
  </conditionalFormatting>
  <conditionalFormatting sqref="BP36:BP43">
    <cfRule type="expression" dxfId="4732" priority="108">
      <formula>BP36="City Wall"</formula>
    </cfRule>
  </conditionalFormatting>
  <conditionalFormatting sqref="BG35">
    <cfRule type="expression" dxfId="4731" priority="106">
      <formula>BG36="City Wall"</formula>
    </cfRule>
    <cfRule type="expression" dxfId="4730" priority="107">
      <formula>BH35="City Wall"</formula>
    </cfRule>
  </conditionalFormatting>
  <conditionalFormatting sqref="BP35">
    <cfRule type="expression" dxfId="4729" priority="104">
      <formula>BP36="City Wall"</formula>
    </cfRule>
    <cfRule type="expression" dxfId="4728" priority="105">
      <formula>BH35="City Wall"</formula>
    </cfRule>
  </conditionalFormatting>
  <conditionalFormatting sqref="BP44">
    <cfRule type="expression" dxfId="4727" priority="102">
      <formula>BH44="City Wall"</formula>
    </cfRule>
    <cfRule type="expression" dxfId="4726" priority="103">
      <formula>BP36="City Wall"</formula>
    </cfRule>
  </conditionalFormatting>
  <conditionalFormatting sqref="BG44">
    <cfRule type="expression" dxfId="4725" priority="100">
      <formula>BG36="City Wall"</formula>
    </cfRule>
    <cfRule type="expression" dxfId="4724" priority="101">
      <formula>BH44="City Wall"</formula>
    </cfRule>
  </conditionalFormatting>
  <conditionalFormatting sqref="BG45:BP45">
    <cfRule type="expression" dxfId="4723" priority="98">
      <formula>BG45="Land"</formula>
    </cfRule>
    <cfRule type="expression" dxfId="4722" priority="99">
      <formula>BG45="Water"</formula>
    </cfRule>
  </conditionalFormatting>
  <conditionalFormatting sqref="BQ45">
    <cfRule type="expression" dxfId="4721" priority="94" stopIfTrue="1">
      <formula>BQ35="Water"</formula>
    </cfRule>
    <cfRule type="expression" dxfId="4720" priority="95" stopIfTrue="1">
      <formula>BG45="Water"</formula>
    </cfRule>
    <cfRule type="expression" dxfId="4719" priority="96" stopIfTrue="1">
      <formula>BG45="Land"</formula>
    </cfRule>
    <cfRule type="expression" dxfId="4718" priority="97" stopIfTrue="1">
      <formula>BQ35="Land"</formula>
    </cfRule>
  </conditionalFormatting>
  <conditionalFormatting sqref="BG34:BP34">
    <cfRule type="expression" dxfId="4717" priority="92" stopIfTrue="1">
      <formula>BG34="Water"</formula>
    </cfRule>
    <cfRule type="expression" dxfId="4716" priority="93" stopIfTrue="1">
      <formula>BG34="Land"</formula>
    </cfRule>
  </conditionalFormatting>
  <conditionalFormatting sqref="BF45">
    <cfRule type="expression" dxfId="4715" priority="88" stopIfTrue="1">
      <formula>BF35="Water"</formula>
    </cfRule>
    <cfRule type="expression" dxfId="4714" priority="89" stopIfTrue="1">
      <formula>BG45="Water"</formula>
    </cfRule>
    <cfRule type="expression" dxfId="4713" priority="90" stopIfTrue="1">
      <formula>BG45="Land"</formula>
    </cfRule>
    <cfRule type="expression" dxfId="4712" priority="91" stopIfTrue="1">
      <formula>BF35="Land"</formula>
    </cfRule>
  </conditionalFormatting>
  <conditionalFormatting sqref="BF35:BF44">
    <cfRule type="expression" dxfId="4711" priority="86" stopIfTrue="1">
      <formula>BF35="Water"</formula>
    </cfRule>
    <cfRule type="expression" dxfId="4710" priority="87" stopIfTrue="1">
      <formula>BF35="Land"</formula>
    </cfRule>
  </conditionalFormatting>
  <conditionalFormatting sqref="BQ35:BQ44">
    <cfRule type="expression" dxfId="4709" priority="84" stopIfTrue="1">
      <formula>BQ35="Water"</formula>
    </cfRule>
    <cfRule type="expression" dxfId="4708" priority="85" stopIfTrue="1">
      <formula>BQ35="Land"</formula>
    </cfRule>
  </conditionalFormatting>
  <conditionalFormatting sqref="BQ34">
    <cfRule type="expression" dxfId="4707" priority="80" stopIfTrue="1">
      <formula>BQ35="Water"</formula>
    </cfRule>
    <cfRule type="expression" dxfId="4706" priority="81" stopIfTrue="1">
      <formula>BG34="Water"</formula>
    </cfRule>
    <cfRule type="expression" dxfId="4705" priority="82" stopIfTrue="1">
      <formula>BG34="Land"</formula>
    </cfRule>
    <cfRule type="expression" dxfId="4704" priority="83" stopIfTrue="1">
      <formula>BQ35="Land"</formula>
    </cfRule>
  </conditionalFormatting>
  <conditionalFormatting sqref="BF34">
    <cfRule type="expression" dxfId="4703" priority="76" stopIfTrue="1">
      <formula>BG34="Water"</formula>
    </cfRule>
    <cfRule type="expression" dxfId="4702" priority="77" stopIfTrue="1">
      <formula>BF35="Water"</formula>
    </cfRule>
    <cfRule type="expression" dxfId="4701" priority="78" stopIfTrue="1">
      <formula>BG34="Land"</formula>
    </cfRule>
    <cfRule type="expression" dxfId="4700" priority="79" stopIfTrue="1">
      <formula>BF35="Land"</formula>
    </cfRule>
  </conditionalFormatting>
  <conditionalFormatting sqref="BH36:BO43">
    <cfRule type="expression" dxfId="4699" priority="75">
      <formula>BH36&lt;&gt;""</formula>
    </cfRule>
  </conditionalFormatting>
  <conditionalFormatting sqref="BH48:BO48">
    <cfRule type="expression" dxfId="4698" priority="74">
      <formula>BH48="City Wall"</formula>
    </cfRule>
  </conditionalFormatting>
  <conditionalFormatting sqref="BH57:BO57">
    <cfRule type="expression" dxfId="4697" priority="73">
      <formula>BH57="City Wall"</formula>
    </cfRule>
  </conditionalFormatting>
  <conditionalFormatting sqref="BG49:BG56">
    <cfRule type="expression" dxfId="4696" priority="72">
      <formula>BG49="City Wall"</formula>
    </cfRule>
  </conditionalFormatting>
  <conditionalFormatting sqref="BP49:BP56">
    <cfRule type="expression" dxfId="4695" priority="71">
      <formula>BP49="City Wall"</formula>
    </cfRule>
  </conditionalFormatting>
  <conditionalFormatting sqref="BG48">
    <cfRule type="expression" dxfId="4694" priority="69">
      <formula>BG49="City Wall"</formula>
    </cfRule>
    <cfRule type="expression" dxfId="4693" priority="70">
      <formula>BH48="City Wall"</formula>
    </cfRule>
  </conditionalFormatting>
  <conditionalFormatting sqref="BP48">
    <cfRule type="expression" dxfId="4692" priority="67">
      <formula>BP49="City Wall"</formula>
    </cfRule>
    <cfRule type="expression" dxfId="4691" priority="68">
      <formula>BH48="City Wall"</formula>
    </cfRule>
  </conditionalFormatting>
  <conditionalFormatting sqref="BP57">
    <cfRule type="expression" dxfId="4690" priority="65">
      <formula>BH57="City Wall"</formula>
    </cfRule>
    <cfRule type="expression" dxfId="4689" priority="66">
      <formula>BP49="City Wall"</formula>
    </cfRule>
  </conditionalFormatting>
  <conditionalFormatting sqref="BG57">
    <cfRule type="expression" dxfId="4688" priority="63">
      <formula>BG49="City Wall"</formula>
    </cfRule>
    <cfRule type="expression" dxfId="4687" priority="64">
      <formula>BH57="City Wall"</formula>
    </cfRule>
  </conditionalFormatting>
  <conditionalFormatting sqref="BG58:BP58">
    <cfRule type="expression" dxfId="4686" priority="61">
      <formula>BG58="Land"</formula>
    </cfRule>
    <cfRule type="expression" dxfId="4685" priority="62">
      <formula>BG58="Water"</formula>
    </cfRule>
  </conditionalFormatting>
  <conditionalFormatting sqref="BQ58">
    <cfRule type="expression" dxfId="4684" priority="57" stopIfTrue="1">
      <formula>BQ48="Water"</formula>
    </cfRule>
    <cfRule type="expression" dxfId="4683" priority="58" stopIfTrue="1">
      <formula>BG58="Water"</formula>
    </cfRule>
    <cfRule type="expression" dxfId="4682" priority="59" stopIfTrue="1">
      <formula>BG58="Land"</formula>
    </cfRule>
    <cfRule type="expression" dxfId="4681" priority="60" stopIfTrue="1">
      <formula>BQ48="Land"</formula>
    </cfRule>
  </conditionalFormatting>
  <conditionalFormatting sqref="BG47:BP47">
    <cfRule type="expression" dxfId="4680" priority="55" stopIfTrue="1">
      <formula>BG47="Water"</formula>
    </cfRule>
    <cfRule type="expression" dxfId="4679" priority="56" stopIfTrue="1">
      <formula>BG47="Land"</formula>
    </cfRule>
  </conditionalFormatting>
  <conditionalFormatting sqref="BF58">
    <cfRule type="expression" dxfId="4678" priority="51" stopIfTrue="1">
      <formula>BF48="Water"</formula>
    </cfRule>
    <cfRule type="expression" dxfId="4677" priority="52" stopIfTrue="1">
      <formula>BG58="Water"</formula>
    </cfRule>
    <cfRule type="expression" dxfId="4676" priority="53" stopIfTrue="1">
      <formula>BG58="Land"</formula>
    </cfRule>
    <cfRule type="expression" dxfId="4675" priority="54" stopIfTrue="1">
      <formula>BF48="Land"</formula>
    </cfRule>
  </conditionalFormatting>
  <conditionalFormatting sqref="BF48:BF57">
    <cfRule type="expression" dxfId="4674" priority="49" stopIfTrue="1">
      <formula>BF48="Water"</formula>
    </cfRule>
    <cfRule type="expression" dxfId="4673" priority="50" stopIfTrue="1">
      <formula>BF48="Land"</formula>
    </cfRule>
  </conditionalFormatting>
  <conditionalFormatting sqref="BQ48:BQ57">
    <cfRule type="expression" dxfId="4672" priority="47" stopIfTrue="1">
      <formula>BQ48="Water"</formula>
    </cfRule>
    <cfRule type="expression" dxfId="4671" priority="48" stopIfTrue="1">
      <formula>BQ48="Land"</formula>
    </cfRule>
  </conditionalFormatting>
  <conditionalFormatting sqref="BQ47">
    <cfRule type="expression" dxfId="4670" priority="43" stopIfTrue="1">
      <formula>BQ48="Water"</formula>
    </cfRule>
    <cfRule type="expression" dxfId="4669" priority="44" stopIfTrue="1">
      <formula>BG47="Water"</formula>
    </cfRule>
    <cfRule type="expression" dxfId="4668" priority="45" stopIfTrue="1">
      <formula>BG47="Land"</formula>
    </cfRule>
    <cfRule type="expression" dxfId="4667" priority="46" stopIfTrue="1">
      <formula>BQ48="Land"</formula>
    </cfRule>
  </conditionalFormatting>
  <conditionalFormatting sqref="BF47">
    <cfRule type="expression" dxfId="4666" priority="39" stopIfTrue="1">
      <formula>BG47="Water"</formula>
    </cfRule>
    <cfRule type="expression" dxfId="4665" priority="40" stopIfTrue="1">
      <formula>BF48="Water"</formula>
    </cfRule>
    <cfRule type="expression" dxfId="4664" priority="41" stopIfTrue="1">
      <formula>BG47="Land"</formula>
    </cfRule>
    <cfRule type="expression" dxfId="4663" priority="42" stopIfTrue="1">
      <formula>BF48="Land"</formula>
    </cfRule>
  </conditionalFormatting>
  <conditionalFormatting sqref="BH49:BO56">
    <cfRule type="expression" dxfId="4662" priority="38">
      <formula>BH49&lt;&gt;""</formula>
    </cfRule>
  </conditionalFormatting>
  <conditionalFormatting sqref="BH61:BO61">
    <cfRule type="expression" dxfId="4661" priority="37">
      <formula>BH61="City Wall"</formula>
    </cfRule>
  </conditionalFormatting>
  <conditionalFormatting sqref="BH70:BO70">
    <cfRule type="expression" dxfId="4660" priority="36">
      <formula>BH70="City Wall"</formula>
    </cfRule>
  </conditionalFormatting>
  <conditionalFormatting sqref="BG62:BG69">
    <cfRule type="expression" dxfId="4659" priority="35">
      <formula>BG62="City Wall"</formula>
    </cfRule>
  </conditionalFormatting>
  <conditionalFormatting sqref="BP62:BP69">
    <cfRule type="expression" dxfId="4658" priority="34">
      <formula>BP62="City Wall"</formula>
    </cfRule>
  </conditionalFormatting>
  <conditionalFormatting sqref="BG61">
    <cfRule type="expression" dxfId="4657" priority="32">
      <formula>BG62="City Wall"</formula>
    </cfRule>
    <cfRule type="expression" dxfId="4656" priority="33">
      <formula>BH61="City Wall"</formula>
    </cfRule>
  </conditionalFormatting>
  <conditionalFormatting sqref="BP61">
    <cfRule type="expression" dxfId="4655" priority="30">
      <formula>BP62="City Wall"</formula>
    </cfRule>
    <cfRule type="expression" dxfId="4654" priority="31">
      <formula>BH61="City Wall"</formula>
    </cfRule>
  </conditionalFormatting>
  <conditionalFormatting sqref="BP70">
    <cfRule type="expression" dxfId="4653" priority="28">
      <formula>BH70="City Wall"</formula>
    </cfRule>
    <cfRule type="expression" dxfId="4652" priority="29">
      <formula>BP62="City Wall"</formula>
    </cfRule>
  </conditionalFormatting>
  <conditionalFormatting sqref="BG70">
    <cfRule type="expression" dxfId="4651" priority="26">
      <formula>BG62="City Wall"</formula>
    </cfRule>
    <cfRule type="expression" dxfId="4650" priority="27">
      <formula>BH70="City Wall"</formula>
    </cfRule>
  </conditionalFormatting>
  <conditionalFormatting sqref="BG71:BP71">
    <cfRule type="expression" dxfId="4649" priority="24">
      <formula>BG71="Land"</formula>
    </cfRule>
    <cfRule type="expression" dxfId="4648" priority="25">
      <formula>BG71="Water"</formula>
    </cfRule>
  </conditionalFormatting>
  <conditionalFormatting sqref="BQ71">
    <cfRule type="expression" dxfId="4647" priority="20" stopIfTrue="1">
      <formula>BQ61="Water"</formula>
    </cfRule>
    <cfRule type="expression" dxfId="4646" priority="21" stopIfTrue="1">
      <formula>BG71="Water"</formula>
    </cfRule>
    <cfRule type="expression" dxfId="4645" priority="22" stopIfTrue="1">
      <formula>BG71="Land"</formula>
    </cfRule>
    <cfRule type="expression" dxfId="4644" priority="23" stopIfTrue="1">
      <formula>BQ61="Land"</formula>
    </cfRule>
  </conditionalFormatting>
  <conditionalFormatting sqref="BG60:BP60">
    <cfRule type="expression" dxfId="4643" priority="18" stopIfTrue="1">
      <formula>BG60="Water"</formula>
    </cfRule>
    <cfRule type="expression" dxfId="4642" priority="19" stopIfTrue="1">
      <formula>BG60="Land"</formula>
    </cfRule>
  </conditionalFormatting>
  <conditionalFormatting sqref="BF71">
    <cfRule type="expression" dxfId="4641" priority="14" stopIfTrue="1">
      <formula>BF61="Water"</formula>
    </cfRule>
    <cfRule type="expression" dxfId="4640" priority="15" stopIfTrue="1">
      <formula>BG71="Water"</formula>
    </cfRule>
    <cfRule type="expression" dxfId="4639" priority="16" stopIfTrue="1">
      <formula>BG71="Land"</formula>
    </cfRule>
    <cfRule type="expression" dxfId="4638" priority="17" stopIfTrue="1">
      <formula>BF61="Land"</formula>
    </cfRule>
  </conditionalFormatting>
  <conditionalFormatting sqref="BF61:BF70">
    <cfRule type="expression" dxfId="4637" priority="12" stopIfTrue="1">
      <formula>BF61="Water"</formula>
    </cfRule>
    <cfRule type="expression" dxfId="4636" priority="13" stopIfTrue="1">
      <formula>BF61="Land"</formula>
    </cfRule>
  </conditionalFormatting>
  <conditionalFormatting sqref="BQ61:BQ70">
    <cfRule type="expression" dxfId="4635" priority="10" stopIfTrue="1">
      <formula>BQ61="Water"</formula>
    </cfRule>
    <cfRule type="expression" dxfId="4634" priority="11" stopIfTrue="1">
      <formula>BQ61="Land"</formula>
    </cfRule>
  </conditionalFormatting>
  <conditionalFormatting sqref="BQ60">
    <cfRule type="expression" dxfId="4633" priority="6" stopIfTrue="1">
      <formula>BQ61="Water"</formula>
    </cfRule>
    <cfRule type="expression" dxfId="4632" priority="7" stopIfTrue="1">
      <formula>BG60="Water"</formula>
    </cfRule>
    <cfRule type="expression" dxfId="4631" priority="8" stopIfTrue="1">
      <formula>BG60="Land"</formula>
    </cfRule>
    <cfRule type="expression" dxfId="4630" priority="9" stopIfTrue="1">
      <formula>BQ61="Land"</formula>
    </cfRule>
  </conditionalFormatting>
  <conditionalFormatting sqref="BF60">
    <cfRule type="expression" dxfId="4629" priority="2" stopIfTrue="1">
      <formula>BG60="Water"</formula>
    </cfRule>
    <cfRule type="expression" dxfId="4628" priority="3" stopIfTrue="1">
      <formula>BF61="Water"</formula>
    </cfRule>
    <cfRule type="expression" dxfId="4627" priority="4" stopIfTrue="1">
      <formula>BG60="Land"</formula>
    </cfRule>
    <cfRule type="expression" dxfId="4626" priority="5" stopIfTrue="1">
      <formula>BF61="Land"</formula>
    </cfRule>
  </conditionalFormatting>
  <conditionalFormatting sqref="BH62:BO69">
    <cfRule type="expression" dxfId="4625" priority="1">
      <formula>BH62&lt;&gt;""</formula>
    </cfRule>
  </conditionalFormatting>
  <dataValidations count="3">
    <dataValidation type="list" allowBlank="1" showInputMessage="1" showErrorMessage="1" sqref="G19:P19 AT47:BC47 BD48:BD57 AS48:AS57 AT58:BC58 AT34:BC34 BD35:BD44 AS35:AS44 AT45:BC45 AT21:BC21 BD22:BD31 AS22:AS31 AT32:BC32 AT8:BC8 BD9:BD18 AS9:AS18 AT19:BC19 AG47:AP47 AQ48:AQ57 AF48:AF57 AG58:AP58 T47:AC47 AD48:AD57 S48:S57 T58:AC58 G47:P47 Q48:Q57 F48:F57 G58:P58 AG34:AP34 AQ35:AQ44 AF35:AF44 AG45:AP45 T34:AC34 AD35:AD44 S35:S44 T45:AC45 G34:P34 Q35:Q44 F35:F44 G45:P45 AG21:AP21 AQ22:AQ31 AF22:AF31 AG32:AP32 T21:AC21 AD22:AD31 S22:S31 T32:AC32 G21:P21 Q22:Q31 F22:F31 G32:P32 AG8:AP8 AQ9:AQ18 AF9:AF18 AG19:AP19 T8:AC8 AD9:AD18 S9:S18 T19:AC19 G8:P8 Q9:Q18 F9:F18 AT60:BC60 BD61:BD70 AS61:AS70 AT71:BC71 AG60:AP60 AQ61:AQ70 AF61:AF70 AG71:AP71 T60:AC60 AD61:AD70 S61:S70 T71:AC71 G60:P60 Q61:Q70 F61:F70 G71:P71 BG47:BP47 BQ48:BQ57 BF48:BF57 BG58:BP58 BG34:BP34 BQ35:BQ44 BF35:BF44 BG45:BP45 BG21:BP21 BQ22:BQ31 BF22:BF31 BG32:BP32 BG8:BP8 BQ9:BQ18 BF9:BF18 BG19:BP19 BG60:BP60 BQ61:BQ70 BF61:BF70 BG71:BP71">
      <formula1>$C$9:$C$10</formula1>
    </dataValidation>
    <dataValidation type="list" allowBlank="1" showInputMessage="1" showErrorMessage="1" sqref="H9:O9 BC49:BC56 AT49:AT56 AU57:BB57 AU48:BB48 BC36:BC43 AT36:AT43 AU44:BB44 AU35:BB35 BC23:BC30 AT23:AT30 AU31:BB31 AU22:BB22 BC10:BC17 AT10:AT17 AU18:BB18 AU9:BB9 AP49:AP56 AG49:AG56 AH57:AO57 AH48:AO48 AC49:AC56 T49:T56 U57:AB57 U48:AB48 P49:P56 G49:G56 H57:O57 H48:O48 AP36:AP43 AG36:AG43 AH44:AO44 AH35:AO35 AC36:AC43 T36:T43 U44:AB44 U35:AB35 P36:P43 G36:G43 H44:O44 H35:O35 AP23:AP30 AG23:AG30 AH31:AO31 AH22:AO22 AC23:AC30 T23:T30 U31:AB31 U22:AB22 P23:P30 G23:G30 H31:O31 H22:O22 AP10:AP17 AG10:AG17 AH18:AO18 AH9:AO9 AC10:AC17 T10:T17 U18:AB18 U9:AB9 P10:P17 G10:G17 H18:O18 BC62:BC69 AT62:AT69 AU70:BB70 AU61:BB61 AP62:AP69 AG62:AG69 AH70:AO70 AH61:AO61 AC62:AC69 T62:T69 U70:AB70 U61:AB61 P62:P69 G62:G69 H70:O70 H61:O61 BP49:BP56 BG49:BG56 BH57:BO57 BH48:BO48 BP36:BP43 BG36:BG43 BH44:BO44 BH35:BO35 BP23:BP30 BG23:BG30 BH31:BO31 BH22:BO22 BP10:BP17 BG10:BG17 BH18:BO18 BH9:BO9 BP62:BP69 BG62:BG69 BH70:BO70 BH61:BO61">
      <formula1>$B$9:$B$10</formula1>
    </dataValidation>
    <dataValidation type="list" allowBlank="1" showInputMessage="1" showErrorMessage="1" sqref="D10 AU49:AV50 AX49:AY50 AU52:AV53 AX52:AY53 BA49:BB50 BA52:BB53 AU55:AV56 AX55:AY56 BA55:BB56 AU36:AV37 AX36:AY37 AU39:AV40 AX39:AY40 BA36:BB37 BA39:BB40 AU42:AV43 AX42:AY43 BA42:BB43 AU23:AV24 AX23:AY24 AU26:AV27 AX26:AY27 BA23:BB24 BA26:BB27 AU29:AV30 AX29:AY30 BA29:BB30 AU10:AV11 AX10:AY11 AU13:AV14 AX13:AY14 BA10:BB11 BA13:BB14 AU16:AV17 AX16:AY17 BA16:BB17 AH49:AI50 AK49:AL50 AH52:AI53 AK52:AL53 AN49:AO50 AN52:AO53 AH55:AI56 AK55:AL56 AN55:AO56 U49:V50 X49:Y50 U52:V53 X52:Y53 AA49:AB50 AA52:AB53 U55:V56 X55:Y56 AA55:AB56 H49:I50 K49:L50 H52:I53 K52:L53 N49:O50 N52:O53 H55:I56 K55:L56 N55:O56 AH36:AI37 AK36:AL37 AH39:AI40 AK39:AL40 AN36:AO37 AN39:AO40 AH42:AI43 AK42:AL43 AN42:AO43 U36:V37 X36:Y37 U39:V40 X39:Y40 AA36:AB37 AA39:AB40 U42:V43 X42:Y43 AA42:AB43 H36:I37 K36:L37 H39:I40 K39:L40 N36:O37 N39:O40 H42:I43 K42:L43 N42:O43 AH23:AI24 AK23:AL24 AH26:AI27 AK26:AL27 AN23:AO24 AN26:AO27 AH29:AI30 AK29:AL30 AN29:AO30 U23:V24 X23:Y24 U26:V27 X26:Y27 AA23:AB24 AA26:AB27 U29:V30 X29:Y30 AA29:AB30 H23:I24 K23:L24 H26:I27 K26:L27 N23:O24 N26:O27 H29:I30 K29:L30 N29:O30 AH10:AI11 AK10:AL11 AH13:AI14 AK13:AL14 AN10:AO11 AN13:AO14 AH16:AI17 AK16:AL17 AN16:AO17 U10:V11 X10:Y11 U13:V14 X13:Y14 AA10:AB11 AA13:AB14 U16:V17 X16:Y17 AA16:AB17 H10:I11 K10:L11 H13:I14 K13:L14 N10:O11 N13:O14 H16:I17 K16:L17 N16:O17 AU62:AV63 AX62:AY63 AU65:AV66 AX65:AY66 BA62:BB63 BA65:BB66 AU68:AV69 AX68:AY69 BA68:BB69 AH62:AI63 AK62:AL63 AH65:AI66 AK65:AL66 AN62:AO63 AN65:AO66 AH68:AI69 AK68:AL69 AN68:AO69 U62:V63 X62:Y63 U65:V66 X65:Y66 AA62:AB63 AA65:AB66 U68:V69 X68:Y69 AA68:AB69 H62:I63 K62:L63 H65:I66 K65:L66 N62:O63 N65:O66 H68:I69 K68:L69 N68:O69 BH49:BI50 BK49:BL50 BH52:BI53 BK52:BL53 BN49:BO50 BN52:BO53 BH55:BI56 BK55:BL56 BN55:BO56 BH36:BI37 BK36:BL37 BH39:BI40 BK39:BL40 BN36:BO37 BN39:BO40 BH42:BI43 BK42:BL43 BN42:BO43 BH23:BI24 BK23:BL24 BH26:BI27 BK26:BL27 BN23:BO24 BN26:BO27 BH29:BI30 BK29:BL30 BN29:BO30 BH10:BI11 BK10:BL11 BH13:BI14 BK13:BL14 BN10:BO11 BN13:BO14 BH16:BI17 BK16:BL17 BN16:BO17 BH62:BI63 BK62:BL63 BH65:BI66 BK65:BL66 BN62:BO63 BN65:BO66 BH68:BI69 BK68:BL69 BN68:BO69">
      <formula1>$A$9:$A$65</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horizontalDpi="150" verticalDpi="0" r:id="rId1"/>
  <headerFooter>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73"/>
  <sheetViews>
    <sheetView zoomScale="80" zoomScaleNormal="80" workbookViewId="0">
      <selection activeCell="AJ36" sqref="AJ36"/>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t="s">
        <v>1713</v>
      </c>
      <c r="E2" s="456"/>
      <c r="F2" s="456"/>
      <c r="G2" s="456"/>
      <c r="H2" s="456"/>
      <c r="I2" s="456"/>
      <c r="J2" s="456"/>
      <c r="K2" s="456"/>
      <c r="L2" s="456"/>
      <c r="M2" s="456"/>
      <c r="N2" s="456"/>
      <c r="O2" s="456"/>
      <c r="P2" s="456"/>
      <c r="Q2" s="456"/>
      <c r="R2" s="456"/>
      <c r="S2" s="456"/>
      <c r="T2" s="457"/>
      <c r="U2" s="67"/>
      <c r="V2" s="67"/>
      <c r="W2" s="67"/>
      <c r="X2" s="67"/>
      <c r="Y2" s="67"/>
      <c r="Z2" s="67"/>
      <c r="AA2" s="67"/>
      <c r="AB2" s="67"/>
      <c r="AC2" s="67"/>
      <c r="AD2" s="67"/>
      <c r="AF2" s="454" t="s">
        <v>96</v>
      </c>
      <c r="AG2" s="454"/>
      <c r="AH2" s="454"/>
      <c r="AI2" s="5"/>
      <c r="AJ2" s="46">
        <f>IF((BC66+IF(D2&lt;&gt;0,200,0))&gt;16000,16000, (BC66+IF(D2&lt;&gt;0,200,0)))</f>
        <v>2700</v>
      </c>
      <c r="AK2" s="67"/>
      <c r="AL2" s="67"/>
      <c r="AM2" s="67"/>
      <c r="AN2" s="67"/>
      <c r="AO2" s="67"/>
      <c r="AP2" s="67"/>
      <c r="AQ2" s="67"/>
      <c r="AR2" s="67"/>
      <c r="AS2" s="67"/>
      <c r="AT2" s="67"/>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71"/>
      <c r="AK3" s="11"/>
      <c r="AL3" s="11"/>
      <c r="AM3" s="11"/>
      <c r="AN3" s="11"/>
      <c r="AO3" s="11"/>
      <c r="AP3" s="11"/>
      <c r="AQ3" s="11"/>
      <c r="AR3" s="11"/>
      <c r="AS3" s="11"/>
      <c r="AT3" s="11"/>
      <c r="AU3" s="22"/>
    </row>
    <row r="4" spans="1:58" ht="15.75" thickBot="1" x14ac:dyDescent="0.3">
      <c r="A4" s="19"/>
      <c r="B4" s="70" t="s">
        <v>49</v>
      </c>
      <c r="C4" s="62"/>
      <c r="D4" s="46">
        <f>AW66</f>
        <v>7</v>
      </c>
      <c r="E4" s="47"/>
      <c r="F4" s="47"/>
      <c r="G4" s="47"/>
      <c r="H4" s="47"/>
      <c r="I4" s="47"/>
      <c r="J4" s="47"/>
      <c r="K4" s="47"/>
      <c r="L4" s="47"/>
      <c r="M4" s="47"/>
      <c r="N4" s="47"/>
      <c r="O4" s="47"/>
      <c r="P4" s="454" t="s">
        <v>51</v>
      </c>
      <c r="Q4" s="458"/>
      <c r="R4" s="458"/>
      <c r="T4" s="46">
        <f>AY66</f>
        <v>5</v>
      </c>
      <c r="U4" s="47"/>
      <c r="V4" s="47"/>
      <c r="W4" s="47"/>
      <c r="X4" s="47"/>
      <c r="Y4" s="47"/>
      <c r="Z4" s="47"/>
      <c r="AA4" s="47"/>
      <c r="AB4" s="47"/>
      <c r="AC4" s="47"/>
      <c r="AD4" s="47"/>
      <c r="AF4" s="454" t="s">
        <v>95</v>
      </c>
      <c r="AG4" s="405"/>
      <c r="AH4" s="405"/>
      <c r="AI4" s="62"/>
      <c r="AJ4" s="46">
        <f>AZ66</f>
        <v>8</v>
      </c>
      <c r="AK4" s="47"/>
      <c r="AL4" s="47"/>
      <c r="AM4" s="47"/>
      <c r="AN4" s="47"/>
      <c r="AO4" s="47"/>
      <c r="AP4" s="47"/>
      <c r="AQ4" s="47"/>
      <c r="AR4" s="47"/>
      <c r="AS4" s="47"/>
      <c r="AT4" s="47"/>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6.5" customHeight="1" thickBot="1" x14ac:dyDescent="0.3">
      <c r="A6" s="19"/>
      <c r="B6" s="70" t="s">
        <v>50</v>
      </c>
      <c r="C6" s="62"/>
      <c r="D6" s="46">
        <f>AX66</f>
        <v>4</v>
      </c>
      <c r="E6" s="208" t="s">
        <v>49</v>
      </c>
      <c r="F6" s="208" t="s">
        <v>50</v>
      </c>
      <c r="G6" s="208" t="s">
        <v>51</v>
      </c>
      <c r="H6" s="208" t="s">
        <v>95</v>
      </c>
      <c r="I6" s="208" t="s">
        <v>57</v>
      </c>
      <c r="J6" s="208" t="s">
        <v>379</v>
      </c>
      <c r="K6" s="208" t="s">
        <v>380</v>
      </c>
      <c r="L6" s="208" t="s">
        <v>150</v>
      </c>
      <c r="M6" s="208" t="s">
        <v>174</v>
      </c>
      <c r="N6" s="208" t="s">
        <v>151</v>
      </c>
      <c r="O6" s="47"/>
      <c r="P6" s="454" t="s">
        <v>43</v>
      </c>
      <c r="Q6" s="405"/>
      <c r="R6" s="405"/>
      <c r="S6" s="62"/>
      <c r="T6" s="46">
        <f>250*BB66</f>
        <v>3500</v>
      </c>
      <c r="U6" s="208" t="s">
        <v>49</v>
      </c>
      <c r="V6" s="208" t="s">
        <v>50</v>
      </c>
      <c r="W6" s="208" t="s">
        <v>51</v>
      </c>
      <c r="X6" s="208" t="s">
        <v>95</v>
      </c>
      <c r="Y6" s="208" t="s">
        <v>57</v>
      </c>
      <c r="Z6" s="208" t="s">
        <v>379</v>
      </c>
      <c r="AA6" s="208" t="s">
        <v>380</v>
      </c>
      <c r="AB6" s="208" t="s">
        <v>150</v>
      </c>
      <c r="AC6" s="208" t="s">
        <v>174</v>
      </c>
      <c r="AD6" s="208" t="s">
        <v>151</v>
      </c>
      <c r="AF6" s="454" t="s">
        <v>158</v>
      </c>
      <c r="AG6" s="405"/>
      <c r="AH6" s="405"/>
      <c r="AI6" s="80"/>
      <c r="AJ6" s="46">
        <f>ROUNDUP((BB66/36),0)</f>
        <v>1</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71"/>
      <c r="AK7" s="21"/>
      <c r="AL7" s="21"/>
      <c r="AM7" s="21"/>
      <c r="AN7" s="21"/>
      <c r="AO7" s="21"/>
      <c r="AP7" s="21"/>
      <c r="AQ7" s="21"/>
      <c r="AR7" s="21"/>
      <c r="AS7" s="21"/>
      <c r="AT7" s="21"/>
      <c r="AU7" s="22"/>
    </row>
    <row r="8" spans="1:58" s="5" customFormat="1" ht="15.75" customHeigh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68"/>
      <c r="AL8" s="68"/>
      <c r="AM8" s="68"/>
      <c r="AN8" s="68"/>
      <c r="AO8" s="68"/>
      <c r="AP8" s="68"/>
      <c r="AQ8" s="68"/>
      <c r="AR8" s="68"/>
      <c r="AS8" s="68"/>
      <c r="AT8" s="68"/>
      <c r="AU8" s="18"/>
    </row>
    <row r="9" spans="1:58" s="5" customFormat="1" ht="5.0999999999999996"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3" customHeight="1" thickBot="1" x14ac:dyDescent="0.3">
      <c r="A11" s="19"/>
      <c r="B11" s="72"/>
      <c r="D11" s="5"/>
      <c r="E11" s="67"/>
      <c r="F11" s="67"/>
      <c r="G11" s="67"/>
      <c r="H11" s="67"/>
      <c r="I11" s="67"/>
      <c r="J11" s="67"/>
      <c r="K11" s="67"/>
      <c r="L11" s="67"/>
      <c r="M11" s="67"/>
      <c r="N11" s="67"/>
      <c r="R11" s="5"/>
      <c r="T11" s="5"/>
      <c r="U11" s="67"/>
      <c r="V11" s="67"/>
      <c r="W11" s="67"/>
      <c r="X11" s="67"/>
      <c r="Y11" s="67"/>
      <c r="Z11" s="67"/>
      <c r="AA11" s="67"/>
      <c r="AB11" s="67"/>
      <c r="AC11" s="67"/>
      <c r="AD11" s="67"/>
      <c r="AF11" s="72"/>
      <c r="AG11" s="72"/>
      <c r="AH11" s="72"/>
      <c r="AI11" s="5"/>
      <c r="AJ11" s="5"/>
      <c r="AK11" s="67"/>
      <c r="AL11" s="67"/>
      <c r="AM11" s="67"/>
      <c r="AN11" s="67"/>
      <c r="AO11" s="67"/>
      <c r="AP11" s="67"/>
      <c r="AQ11" s="67"/>
      <c r="AR11" s="67"/>
      <c r="AS11" s="67"/>
      <c r="AT11" s="67"/>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67"/>
      <c r="F13" s="67"/>
      <c r="G13" s="67"/>
      <c r="H13" s="67"/>
      <c r="I13" s="67"/>
      <c r="J13" s="67"/>
      <c r="K13" s="67"/>
      <c r="L13" s="67"/>
      <c r="M13" s="67"/>
      <c r="N13" s="67"/>
      <c r="R13" s="5"/>
      <c r="T13" s="5"/>
      <c r="U13" s="67"/>
      <c r="V13" s="67"/>
      <c r="W13" s="67"/>
      <c r="X13" s="67"/>
      <c r="Y13" s="67"/>
      <c r="Z13" s="67"/>
      <c r="AA13" s="67"/>
      <c r="AB13" s="67"/>
      <c r="AC13" s="67"/>
      <c r="AD13" s="67"/>
      <c r="AF13" s="72"/>
      <c r="AG13" s="72"/>
      <c r="AH13" s="72"/>
      <c r="AI13" s="5"/>
      <c r="AJ13" s="5"/>
      <c r="AK13" s="67"/>
      <c r="AL13" s="67"/>
      <c r="AM13" s="67"/>
      <c r="AN13" s="67"/>
      <c r="AO13" s="67"/>
      <c r="AP13" s="67"/>
      <c r="AQ13" s="67"/>
      <c r="AR13" s="67"/>
      <c r="AS13" s="67"/>
      <c r="AT13" s="67"/>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70" t="s">
        <v>16</v>
      </c>
      <c r="Q14" s="70"/>
      <c r="R14" s="70"/>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67"/>
      <c r="F15" s="67"/>
      <c r="G15" s="67"/>
      <c r="H15" s="67"/>
      <c r="I15" s="67"/>
      <c r="J15" s="67"/>
      <c r="K15" s="67"/>
      <c r="L15" s="67"/>
      <c r="M15" s="67"/>
      <c r="N15" s="67"/>
      <c r="P15" s="72"/>
      <c r="Q15" s="72"/>
      <c r="R15" s="72"/>
      <c r="T15" s="5"/>
      <c r="U15" s="67"/>
      <c r="V15" s="67"/>
      <c r="W15" s="67"/>
      <c r="X15" s="67"/>
      <c r="Y15" s="67"/>
      <c r="Z15" s="67"/>
      <c r="AA15" s="67"/>
      <c r="AB15" s="67"/>
      <c r="AC15" s="67"/>
      <c r="AD15" s="67"/>
      <c r="AF15" s="72"/>
      <c r="AG15" s="72"/>
      <c r="AH15" s="72"/>
      <c r="AI15" s="5"/>
      <c r="AJ15" s="5"/>
      <c r="AK15" s="67"/>
      <c r="AL15" s="67"/>
      <c r="AM15" s="67"/>
      <c r="AN15" s="67"/>
      <c r="AO15" s="67"/>
      <c r="AP15" s="67"/>
      <c r="AQ15" s="67"/>
      <c r="AR15" s="67"/>
      <c r="AS15" s="67"/>
      <c r="AT15" s="67"/>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70" t="s">
        <v>17</v>
      </c>
      <c r="Q16" s="70"/>
      <c r="R16" s="70"/>
      <c r="T16" s="57">
        <v>4</v>
      </c>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-4</v>
      </c>
      <c r="BB16" s="38">
        <f t="shared" si="0"/>
        <v>4</v>
      </c>
      <c r="BC16" s="38">
        <f>$D16*K16+$T16*AA16+$AJ16*AQ16</f>
        <v>0</v>
      </c>
      <c r="BD16" s="38">
        <f>$D16*L16+$T16*AB16+$AJ16*AR16</f>
        <v>0</v>
      </c>
      <c r="BE16" s="38">
        <f>$D16*M16+$T16*AC16+$AJ16*AS16</f>
        <v>0</v>
      </c>
      <c r="BF16" s="39">
        <f>$D16*N16+$T16*AD16+$AJ16*AT16</f>
        <v>0</v>
      </c>
    </row>
    <row r="17" spans="1:60" ht="3" customHeight="1" thickBot="1" x14ac:dyDescent="0.3">
      <c r="A17" s="19"/>
      <c r="B17" s="72"/>
      <c r="D17" s="5"/>
      <c r="E17" s="67"/>
      <c r="F17" s="67"/>
      <c r="G17" s="67"/>
      <c r="H17" s="67"/>
      <c r="I17" s="67"/>
      <c r="J17" s="67"/>
      <c r="K17" s="67"/>
      <c r="L17" s="67"/>
      <c r="M17" s="67"/>
      <c r="N17" s="67"/>
      <c r="P17" s="72"/>
      <c r="Q17" s="72"/>
      <c r="R17" s="72"/>
      <c r="T17" s="5"/>
      <c r="U17" s="67"/>
      <c r="V17" s="67"/>
      <c r="W17" s="67"/>
      <c r="X17" s="67"/>
      <c r="Y17" s="67"/>
      <c r="Z17" s="67"/>
      <c r="AA17" s="67"/>
      <c r="AB17" s="67"/>
      <c r="AC17" s="67"/>
      <c r="AD17" s="67"/>
      <c r="AF17" s="72"/>
      <c r="AG17" s="72"/>
      <c r="AH17" s="72"/>
      <c r="AI17" s="5"/>
      <c r="AJ17" s="5"/>
      <c r="AK17" s="67"/>
      <c r="AL17" s="67"/>
      <c r="AM17" s="67"/>
      <c r="AN17" s="67"/>
      <c r="AO17" s="67"/>
      <c r="AP17" s="67"/>
      <c r="AQ17" s="67"/>
      <c r="AR17" s="67"/>
      <c r="AS17" s="67"/>
      <c r="AT17" s="67"/>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70" t="s">
        <v>18</v>
      </c>
      <c r="Q18" s="70"/>
      <c r="R18" s="70"/>
      <c r="T18" s="57"/>
      <c r="U18" s="73">
        <v>1</v>
      </c>
      <c r="V18" s="73">
        <v>1</v>
      </c>
      <c r="W18" s="73"/>
      <c r="X18" s="73"/>
      <c r="Y18" s="73"/>
      <c r="Z18" s="73">
        <v>1</v>
      </c>
      <c r="AA18" s="73">
        <v>500</v>
      </c>
      <c r="AB18" s="73"/>
      <c r="AC18" s="73"/>
      <c r="AD18" s="73"/>
      <c r="AF18" s="70" t="s">
        <v>33</v>
      </c>
      <c r="AG18" s="70"/>
      <c r="AH18" s="70"/>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67"/>
      <c r="F19" s="67"/>
      <c r="G19" s="67"/>
      <c r="H19" s="67"/>
      <c r="I19" s="67"/>
      <c r="J19" s="67"/>
      <c r="K19" s="67"/>
      <c r="L19" s="67"/>
      <c r="M19" s="67"/>
      <c r="N19" s="67"/>
      <c r="P19" s="72"/>
      <c r="Q19" s="72"/>
      <c r="R19" s="72"/>
      <c r="T19" s="5"/>
      <c r="U19" s="67"/>
      <c r="V19" s="67"/>
      <c r="W19" s="67"/>
      <c r="X19" s="67"/>
      <c r="Y19" s="67"/>
      <c r="Z19" s="67"/>
      <c r="AA19" s="67"/>
      <c r="AB19" s="67"/>
      <c r="AC19" s="67"/>
      <c r="AD19" s="67"/>
      <c r="AF19" s="72"/>
      <c r="AG19" s="72"/>
      <c r="AH19" s="72"/>
      <c r="AI19" s="5"/>
      <c r="AJ19" s="5"/>
      <c r="AK19" s="67"/>
      <c r="AL19" s="67"/>
      <c r="AM19" s="67"/>
      <c r="AN19" s="67"/>
      <c r="AO19" s="67"/>
      <c r="AP19" s="67"/>
      <c r="AQ19" s="67"/>
      <c r="AR19" s="67"/>
      <c r="AS19" s="67"/>
      <c r="AT19" s="67"/>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70" t="s">
        <v>19</v>
      </c>
      <c r="Q20" s="70"/>
      <c r="R20" s="70"/>
      <c r="T20" s="57"/>
      <c r="U20" s="73"/>
      <c r="V20" s="73">
        <v>2</v>
      </c>
      <c r="W20" s="73">
        <v>2</v>
      </c>
      <c r="X20" s="73"/>
      <c r="Y20" s="73">
        <v>-2</v>
      </c>
      <c r="Z20" s="73">
        <v>1</v>
      </c>
      <c r="AA20" s="73"/>
      <c r="AB20" s="73"/>
      <c r="AC20" s="73"/>
      <c r="AD20" s="73"/>
      <c r="AF20" s="70" t="s">
        <v>34</v>
      </c>
      <c r="AG20" s="70"/>
      <c r="AH20" s="70"/>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67"/>
      <c r="F21" s="67"/>
      <c r="G21" s="67"/>
      <c r="H21" s="67"/>
      <c r="I21" s="67"/>
      <c r="J21" s="67"/>
      <c r="K21" s="67"/>
      <c r="L21" s="67"/>
      <c r="M21" s="67"/>
      <c r="N21" s="67"/>
      <c r="P21" s="72"/>
      <c r="Q21" s="72"/>
      <c r="R21" s="72"/>
      <c r="T21" s="5"/>
      <c r="U21" s="67"/>
      <c r="V21" s="67"/>
      <c r="W21" s="67"/>
      <c r="X21" s="67"/>
      <c r="Y21" s="67"/>
      <c r="Z21" s="67"/>
      <c r="AA21" s="67"/>
      <c r="AB21" s="67"/>
      <c r="AC21" s="67"/>
      <c r="AD21" s="67"/>
      <c r="AF21" s="72"/>
      <c r="AG21" s="72"/>
      <c r="AH21" s="72"/>
      <c r="AI21" s="5"/>
      <c r="AJ21" s="5"/>
      <c r="AK21" s="67"/>
      <c r="AL21" s="67"/>
      <c r="AM21" s="67"/>
      <c r="AN21" s="67"/>
      <c r="AO21" s="67"/>
      <c r="AP21" s="67"/>
      <c r="AQ21" s="67"/>
      <c r="AR21" s="67"/>
      <c r="AS21" s="67"/>
      <c r="AT21" s="67"/>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70" t="s">
        <v>20</v>
      </c>
      <c r="Q22" s="70"/>
      <c r="R22" s="70"/>
      <c r="T22" s="57"/>
      <c r="U22" s="73">
        <v>1</v>
      </c>
      <c r="V22" s="73">
        <v>1</v>
      </c>
      <c r="W22" s="73"/>
      <c r="X22" s="73"/>
      <c r="Y22" s="73"/>
      <c r="Z22" s="73">
        <v>1</v>
      </c>
      <c r="AA22" s="73"/>
      <c r="AB22" s="73"/>
      <c r="AC22" s="73"/>
      <c r="AD22" s="73"/>
      <c r="AF22" s="70" t="s">
        <v>35</v>
      </c>
      <c r="AG22" s="70"/>
      <c r="AH22" s="70"/>
      <c r="AI22" s="5"/>
      <c r="AJ22" s="57">
        <v>1</v>
      </c>
      <c r="AK22" s="73">
        <v>1</v>
      </c>
      <c r="AL22" s="73">
        <v>1</v>
      </c>
      <c r="AM22" s="73"/>
      <c r="AN22" s="73"/>
      <c r="AO22" s="73"/>
      <c r="AP22" s="73">
        <v>1</v>
      </c>
      <c r="AQ22" s="73">
        <v>500</v>
      </c>
      <c r="AR22" s="73"/>
      <c r="AS22" s="73"/>
      <c r="AT22" s="73"/>
      <c r="AU22" s="18"/>
      <c r="AW22" s="42">
        <f>$D22*E22+$T22*U22+$AJ22*AK22</f>
        <v>1</v>
      </c>
      <c r="AX22" s="38">
        <f>$D22*F22+$T22*V22+$AJ22*AL22</f>
        <v>1</v>
      </c>
      <c r="AY22" s="38">
        <f>$D22*G22+$T22*W22+$AJ22*AM22</f>
        <v>0</v>
      </c>
      <c r="AZ22" s="38">
        <f>$D22*H22+$T22*X22+$AJ22*AN22</f>
        <v>0</v>
      </c>
      <c r="BA22" s="38">
        <f>$D22*I22+$T22*Y22+$AJ22*AO22</f>
        <v>0</v>
      </c>
      <c r="BB22" s="38">
        <f t="shared" si="0"/>
        <v>1</v>
      </c>
      <c r="BC22" s="38">
        <f>$D22*K22+$T22*AA22+$AJ22*AQ22</f>
        <v>500</v>
      </c>
      <c r="BD22" s="38">
        <f>$D22*L22+$T22*AB22+$AJ22*AR22</f>
        <v>0</v>
      </c>
      <c r="BE22" s="38">
        <f>$D22*M22+$T22*AC22+$AJ22*AS22</f>
        <v>0</v>
      </c>
      <c r="BF22" s="39">
        <f>$D22*N22+$T22*AD22+$AJ22*AT22</f>
        <v>0</v>
      </c>
    </row>
    <row r="23" spans="1:60" ht="3" customHeight="1" thickBot="1" x14ac:dyDescent="0.3">
      <c r="A23" s="19"/>
      <c r="B23" s="72"/>
      <c r="D23" s="5"/>
      <c r="E23" s="67"/>
      <c r="F23" s="67"/>
      <c r="G23" s="67"/>
      <c r="H23" s="67"/>
      <c r="I23" s="67"/>
      <c r="J23" s="67"/>
      <c r="K23" s="67"/>
      <c r="L23" s="67"/>
      <c r="M23" s="67"/>
      <c r="N23" s="67"/>
      <c r="O23" s="11"/>
      <c r="P23" s="72"/>
      <c r="Q23" s="72"/>
      <c r="R23" s="72"/>
      <c r="T23" s="11"/>
      <c r="U23" s="67"/>
      <c r="V23" s="67"/>
      <c r="W23" s="67"/>
      <c r="X23" s="67"/>
      <c r="Y23" s="67"/>
      <c r="Z23" s="67"/>
      <c r="AA23" s="67"/>
      <c r="AB23" s="67"/>
      <c r="AC23" s="67"/>
      <c r="AD23" s="67"/>
      <c r="AF23" s="72"/>
      <c r="AG23" s="72"/>
      <c r="AH23" s="72"/>
      <c r="AI23" s="5"/>
      <c r="AJ23" s="5"/>
      <c r="AK23" s="67"/>
      <c r="AL23" s="67"/>
      <c r="AM23" s="67"/>
      <c r="AN23" s="67"/>
      <c r="AO23" s="67"/>
      <c r="AP23" s="67"/>
      <c r="AQ23" s="67"/>
      <c r="AR23" s="67"/>
      <c r="AS23" s="67"/>
      <c r="AT23" s="67"/>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70" t="s">
        <v>21</v>
      </c>
      <c r="Q24" s="70"/>
      <c r="R24" s="70"/>
      <c r="T24" s="57">
        <v>1</v>
      </c>
      <c r="U24" s="73">
        <v>1</v>
      </c>
      <c r="V24" s="73"/>
      <c r="W24" s="73"/>
      <c r="X24" s="73"/>
      <c r="Y24" s="73"/>
      <c r="Z24" s="73">
        <v>1</v>
      </c>
      <c r="AA24" s="73">
        <v>2000</v>
      </c>
      <c r="AB24" s="73">
        <v>2</v>
      </c>
      <c r="AC24" s="73"/>
      <c r="AD24" s="73"/>
      <c r="AF24" s="70" t="s">
        <v>36</v>
      </c>
      <c r="AG24" s="70"/>
      <c r="AH24" s="70"/>
      <c r="AI24" s="5"/>
      <c r="AJ24" s="57"/>
      <c r="AK24" s="73"/>
      <c r="AL24" s="73">
        <v>2</v>
      </c>
      <c r="AM24" s="73">
        <v>2</v>
      </c>
      <c r="AN24" s="73"/>
      <c r="AO24" s="73">
        <v>-2</v>
      </c>
      <c r="AP24" s="73">
        <v>2</v>
      </c>
      <c r="AQ24" s="73"/>
      <c r="AR24" s="73">
        <v>2</v>
      </c>
      <c r="AS24" s="73"/>
      <c r="AT24" s="73"/>
      <c r="AU24" s="18"/>
      <c r="AW24" s="42">
        <f>$D24*E24+$T24*U24+$AJ24*AK24</f>
        <v>1</v>
      </c>
      <c r="AX24" s="38">
        <f>$D24*F24+$T24*V24+$AJ24*AL24</f>
        <v>0</v>
      </c>
      <c r="AY24" s="38">
        <f>$D24*G24+$T24*W24+$AJ24*AM24</f>
        <v>0</v>
      </c>
      <c r="AZ24" s="38">
        <f>$D24*H24+$T24*X24+$AJ24*AN24</f>
        <v>0</v>
      </c>
      <c r="BA24" s="38">
        <f>$D24*I24+$T24*Y24+$AJ24*AO24</f>
        <v>0</v>
      </c>
      <c r="BB24" s="38">
        <f t="shared" si="0"/>
        <v>1</v>
      </c>
      <c r="BC24" s="38">
        <f>$D24*K24+$T24*AA24+$AJ24*AQ24</f>
        <v>2000</v>
      </c>
      <c r="BD24" s="38">
        <f>$D24*L24+$T24*AB24+$AJ24*AR24</f>
        <v>2</v>
      </c>
      <c r="BE24" s="38">
        <f>$D24*M24+$T24*AC24+$AJ24*AS24</f>
        <v>0</v>
      </c>
      <c r="BF24" s="39">
        <f>$D24*N24+$T24*AD24+$AJ24*AT24</f>
        <v>0</v>
      </c>
    </row>
    <row r="25" spans="1:60" ht="3" customHeight="1" thickBot="1" x14ac:dyDescent="0.3">
      <c r="A25" s="19"/>
      <c r="B25" s="72"/>
      <c r="D25" s="11"/>
      <c r="E25" s="45"/>
      <c r="F25" s="45"/>
      <c r="G25" s="45"/>
      <c r="H25" s="45"/>
      <c r="I25" s="45"/>
      <c r="J25" s="45"/>
      <c r="K25" s="45"/>
      <c r="L25" s="45"/>
      <c r="M25" s="45"/>
      <c r="N25" s="45"/>
      <c r="P25" s="72"/>
      <c r="Q25" s="72"/>
      <c r="R25" s="72"/>
      <c r="T25" s="5"/>
      <c r="U25" s="45"/>
      <c r="V25" s="45"/>
      <c r="W25" s="45"/>
      <c r="X25" s="45"/>
      <c r="Y25" s="45"/>
      <c r="Z25" s="45"/>
      <c r="AA25" s="45"/>
      <c r="AB25" s="45"/>
      <c r="AC25" s="45"/>
      <c r="AD25" s="45"/>
      <c r="AF25" s="72"/>
      <c r="AG25" s="72"/>
      <c r="AH25" s="72"/>
      <c r="AI25" s="5"/>
      <c r="AJ25" s="5"/>
      <c r="AK25" s="45"/>
      <c r="AL25" s="45"/>
      <c r="AM25" s="45"/>
      <c r="AN25" s="45"/>
      <c r="AO25" s="45"/>
      <c r="AP25" s="45"/>
      <c r="AQ25" s="45"/>
      <c r="AR25" s="45"/>
      <c r="AS25" s="45"/>
      <c r="AT25" s="45"/>
      <c r="AU25" s="18"/>
      <c r="AW25" s="42"/>
      <c r="AX25" s="38"/>
      <c r="AY25" s="38"/>
      <c r="AZ25" s="38"/>
      <c r="BA25" s="38"/>
      <c r="BB25" s="38">
        <f t="shared" si="0"/>
        <v>0</v>
      </c>
      <c r="BC25" s="38"/>
      <c r="BD25" s="38"/>
      <c r="BE25" s="38"/>
      <c r="BF25" s="39"/>
    </row>
    <row r="26" spans="1:60" ht="15.75" thickBot="1" x14ac:dyDescent="0.3">
      <c r="A26" s="19"/>
      <c r="B26" s="69" t="s">
        <v>8</v>
      </c>
      <c r="D26" s="57">
        <v>1</v>
      </c>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70" t="s">
        <v>37</v>
      </c>
      <c r="AG26" s="70"/>
      <c r="AH26" s="70"/>
      <c r="AI26" s="5"/>
      <c r="AJ26" s="57"/>
      <c r="AK26" s="73"/>
      <c r="AL26" s="73"/>
      <c r="AM26" s="73"/>
      <c r="AN26" s="73"/>
      <c r="AO26" s="73">
        <v>2</v>
      </c>
      <c r="AP26" s="73">
        <v>1</v>
      </c>
      <c r="AQ26" s="73"/>
      <c r="AR26" s="73"/>
      <c r="AS26" s="73"/>
      <c r="AT26" s="73"/>
      <c r="AU26" s="18"/>
      <c r="AW26" s="42">
        <f>$D26*E26+$T26*U26+$AJ26*AK26</f>
        <v>2</v>
      </c>
      <c r="AX26" s="38">
        <f>$D26*F26+$T26*V26+$AJ26*AL26</f>
        <v>2</v>
      </c>
      <c r="AY26" s="38">
        <f>$D26*G26+$T26*W26+$AJ26*AM26</f>
        <v>2</v>
      </c>
      <c r="AZ26" s="38">
        <f>$D26*H26+$T26*X26+$AJ26*AN26</f>
        <v>8</v>
      </c>
      <c r="BA26" s="38">
        <f>$D26*I26+$T26*Y26+$AJ26*AO26</f>
        <v>-4</v>
      </c>
      <c r="BB26" s="38">
        <f t="shared" si="0"/>
        <v>4</v>
      </c>
      <c r="BC26" s="38">
        <f>$D26*K26+$T26*AA26+$AJ26*AQ26</f>
        <v>0</v>
      </c>
      <c r="BD26" s="38">
        <f>$D26*L26+$T26*AB26+$AJ26*AR26</f>
        <v>0</v>
      </c>
      <c r="BE26" s="38">
        <f>$D26*M26+$T26*AC26+$AJ26*AS26</f>
        <v>0</v>
      </c>
      <c r="BF26" s="39">
        <f>$D26*N26+$T26*AD26+$AJ26*AT26</f>
        <v>0</v>
      </c>
    </row>
    <row r="27" spans="1:60" ht="3" customHeight="1" thickBot="1" x14ac:dyDescent="0.3">
      <c r="A27" s="19"/>
      <c r="B27" s="72"/>
      <c r="D27" s="5"/>
      <c r="E27" s="67"/>
      <c r="F27" s="67"/>
      <c r="G27" s="67"/>
      <c r="H27" s="67"/>
      <c r="I27" s="67"/>
      <c r="J27" s="67">
        <v>4</v>
      </c>
      <c r="K27" s="67"/>
      <c r="L27" s="67"/>
      <c r="M27" s="67"/>
      <c r="N27" s="67"/>
      <c r="P27" s="62"/>
      <c r="Q27" s="62"/>
      <c r="R27" s="62"/>
      <c r="T27" s="5"/>
      <c r="U27" s="67"/>
      <c r="V27" s="67"/>
      <c r="W27" s="67"/>
      <c r="X27" s="67"/>
      <c r="Y27" s="67"/>
      <c r="Z27" s="67"/>
      <c r="AA27" s="67"/>
      <c r="AB27" s="67"/>
      <c r="AC27" s="67"/>
      <c r="AD27" s="67"/>
      <c r="AF27" s="72"/>
      <c r="AG27" s="72"/>
      <c r="AH27" s="72"/>
      <c r="AI27" s="5"/>
      <c r="AJ27" s="5"/>
      <c r="AK27" s="67"/>
      <c r="AL27" s="67"/>
      <c r="AM27" s="67"/>
      <c r="AN27" s="67"/>
      <c r="AO27" s="67"/>
      <c r="AP27" s="67"/>
      <c r="AQ27" s="67"/>
      <c r="AR27" s="67"/>
      <c r="AS27" s="67"/>
      <c r="AT27" s="67"/>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70" t="s">
        <v>23</v>
      </c>
      <c r="Q28" s="70"/>
      <c r="R28" s="70"/>
      <c r="T28" s="57"/>
      <c r="U28" s="73"/>
      <c r="V28" s="73"/>
      <c r="W28" s="73">
        <v>1</v>
      </c>
      <c r="X28" s="73"/>
      <c r="Y28" s="73"/>
      <c r="Z28" s="73">
        <v>1</v>
      </c>
      <c r="AA28" s="73"/>
      <c r="AB28" s="73"/>
      <c r="AC28" s="73"/>
      <c r="AD28" s="73"/>
      <c r="AF28" s="70" t="s">
        <v>38</v>
      </c>
      <c r="AG28" s="70"/>
      <c r="AH28" s="70"/>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67"/>
      <c r="F29" s="67"/>
      <c r="G29" s="67"/>
      <c r="H29" s="67"/>
      <c r="I29" s="67"/>
      <c r="J29" s="67"/>
      <c r="K29" s="67"/>
      <c r="L29" s="67"/>
      <c r="M29" s="67"/>
      <c r="N29" s="67"/>
      <c r="P29" s="72"/>
      <c r="Q29" s="72"/>
      <c r="R29" s="72"/>
      <c r="T29" s="5"/>
      <c r="U29" s="67"/>
      <c r="V29" s="67"/>
      <c r="W29" s="67"/>
      <c r="X29" s="67"/>
      <c r="Y29" s="67"/>
      <c r="Z29" s="67"/>
      <c r="AA29" s="67"/>
      <c r="AB29" s="67"/>
      <c r="AC29" s="67"/>
      <c r="AD29" s="67"/>
      <c r="AF29" s="72"/>
      <c r="AG29" s="72"/>
      <c r="AH29" s="72"/>
      <c r="AI29" s="5"/>
      <c r="AJ29" s="5"/>
      <c r="AK29" s="67"/>
      <c r="AL29" s="67"/>
      <c r="AM29" s="67"/>
      <c r="AN29" s="67"/>
      <c r="AO29" s="67"/>
      <c r="AP29" s="67"/>
      <c r="AQ29" s="67"/>
      <c r="AR29" s="67"/>
      <c r="AS29" s="67"/>
      <c r="AT29" s="67"/>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70" t="s">
        <v>24</v>
      </c>
      <c r="Q30" s="70"/>
      <c r="R30" s="70"/>
      <c r="T30" s="57"/>
      <c r="U30" s="73">
        <v>2</v>
      </c>
      <c r="V30" s="73"/>
      <c r="W30" s="73">
        <v>2</v>
      </c>
      <c r="X30" s="73"/>
      <c r="Y30" s="73"/>
      <c r="Z30" s="73">
        <v>2</v>
      </c>
      <c r="AA30" s="73">
        <v>2000</v>
      </c>
      <c r="AB30" s="73">
        <v>2</v>
      </c>
      <c r="AC30" s="73"/>
      <c r="AD30" s="73"/>
      <c r="AF30" s="70" t="s">
        <v>39</v>
      </c>
      <c r="AG30" s="70"/>
      <c r="AH30" s="70"/>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67"/>
      <c r="F31" s="67"/>
      <c r="G31" s="67"/>
      <c r="H31" s="67"/>
      <c r="I31" s="67"/>
      <c r="J31" s="67"/>
      <c r="K31" s="67"/>
      <c r="L31" s="67"/>
      <c r="M31" s="67"/>
      <c r="N31" s="67"/>
      <c r="P31" s="72"/>
      <c r="Q31" s="72"/>
      <c r="R31" s="72"/>
      <c r="T31" s="5"/>
      <c r="U31" s="67"/>
      <c r="V31" s="67"/>
      <c r="W31" s="67"/>
      <c r="X31" s="67"/>
      <c r="Y31" s="67"/>
      <c r="Z31" s="67"/>
      <c r="AA31" s="67"/>
      <c r="AB31" s="67"/>
      <c r="AC31" s="67"/>
      <c r="AD31" s="67"/>
      <c r="AF31" s="72"/>
      <c r="AG31" s="72"/>
      <c r="AH31" s="72"/>
      <c r="AI31" s="5"/>
      <c r="AJ31" s="5"/>
      <c r="AK31" s="67"/>
      <c r="AL31" s="67"/>
      <c r="AM31" s="67"/>
      <c r="AN31" s="67"/>
      <c r="AO31" s="67"/>
      <c r="AP31" s="67"/>
      <c r="AQ31" s="67"/>
      <c r="AR31" s="67"/>
      <c r="AS31" s="67"/>
      <c r="AT31" s="67"/>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70" t="s">
        <v>25</v>
      </c>
      <c r="Q32" s="70"/>
      <c r="R32" s="70"/>
      <c r="T32" s="57"/>
      <c r="U32" s="73">
        <v>1</v>
      </c>
      <c r="V32" s="73"/>
      <c r="W32" s="73">
        <v>1</v>
      </c>
      <c r="X32" s="73"/>
      <c r="Y32" s="73"/>
      <c r="Z32" s="73">
        <v>1</v>
      </c>
      <c r="AA32" s="73"/>
      <c r="AB32" s="73"/>
      <c r="AC32" s="73"/>
      <c r="AD32" s="73"/>
      <c r="AF32" s="70" t="s">
        <v>40</v>
      </c>
      <c r="AG32" s="70"/>
      <c r="AH32" s="70"/>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67"/>
      <c r="F33" s="67"/>
      <c r="G33" s="67"/>
      <c r="H33" s="67"/>
      <c r="I33" s="67"/>
      <c r="J33" s="67"/>
      <c r="K33" s="67"/>
      <c r="L33" s="67"/>
      <c r="M33" s="67"/>
      <c r="N33" s="67"/>
      <c r="P33" s="72"/>
      <c r="Q33" s="72"/>
      <c r="R33" s="72"/>
      <c r="T33" s="5"/>
      <c r="U33" s="67"/>
      <c r="V33" s="67"/>
      <c r="W33" s="67"/>
      <c r="X33" s="67"/>
      <c r="Y33" s="67"/>
      <c r="Z33" s="67"/>
      <c r="AA33" s="67"/>
      <c r="AB33" s="67"/>
      <c r="AC33" s="67"/>
      <c r="AD33" s="67"/>
      <c r="AF33" s="72"/>
      <c r="AG33" s="72"/>
      <c r="AH33" s="72"/>
      <c r="AI33" s="5"/>
      <c r="AJ33" s="5"/>
      <c r="AK33" s="67"/>
      <c r="AL33" s="67"/>
      <c r="AM33" s="67"/>
      <c r="AN33" s="67"/>
      <c r="AO33" s="67"/>
      <c r="AP33" s="67"/>
      <c r="AQ33" s="67"/>
      <c r="AR33" s="67"/>
      <c r="AS33" s="67"/>
      <c r="AT33" s="67"/>
      <c r="AU33" s="18"/>
      <c r="AW33" s="42"/>
      <c r="AX33" s="38"/>
      <c r="AY33" s="38"/>
      <c r="AZ33" s="38"/>
      <c r="BA33" s="38"/>
      <c r="BB33" s="38">
        <f t="shared" si="0"/>
        <v>0</v>
      </c>
      <c r="BC33" s="38"/>
      <c r="BD33" s="38"/>
      <c r="BE33" s="38"/>
      <c r="BF33" s="39"/>
    </row>
    <row r="34" spans="1:60" ht="15.75" thickBot="1" x14ac:dyDescent="0.3">
      <c r="A34" s="19"/>
      <c r="B34" s="69" t="s">
        <v>12</v>
      </c>
      <c r="D34" s="57">
        <v>1</v>
      </c>
      <c r="E34" s="73">
        <v>1</v>
      </c>
      <c r="F34" s="73"/>
      <c r="G34" s="73">
        <v>1</v>
      </c>
      <c r="H34" s="73"/>
      <c r="I34" s="73"/>
      <c r="J34" s="73">
        <v>1</v>
      </c>
      <c r="K34" s="73"/>
      <c r="L34" s="73">
        <v>1</v>
      </c>
      <c r="M34" s="73"/>
      <c r="N34" s="73"/>
      <c r="P34" s="70" t="s">
        <v>26</v>
      </c>
      <c r="Q34" s="70"/>
      <c r="R34" s="70"/>
      <c r="T34" s="57"/>
      <c r="U34" s="73"/>
      <c r="V34" s="73">
        <v>3</v>
      </c>
      <c r="W34" s="73"/>
      <c r="X34" s="73"/>
      <c r="Y34" s="73">
        <v>-1</v>
      </c>
      <c r="Z34" s="73">
        <v>1</v>
      </c>
      <c r="AA34" s="73"/>
      <c r="AB34" s="73"/>
      <c r="AC34" s="73"/>
      <c r="AD34" s="73"/>
      <c r="AF34" s="70" t="s">
        <v>41</v>
      </c>
      <c r="AG34" s="70"/>
      <c r="AH34" s="70"/>
      <c r="AI34" s="5"/>
      <c r="AJ34" s="57"/>
      <c r="AK34" s="73"/>
      <c r="AL34" s="73"/>
      <c r="AM34" s="73">
        <v>1</v>
      </c>
      <c r="AN34" s="73">
        <v>2</v>
      </c>
      <c r="AO34" s="73">
        <v>-1</v>
      </c>
      <c r="AP34" s="73">
        <v>1</v>
      </c>
      <c r="AQ34" s="73"/>
      <c r="AR34" s="73"/>
      <c r="AS34" s="73"/>
      <c r="AT34" s="73"/>
      <c r="AU34" s="18"/>
      <c r="AW34" s="42">
        <f>$D34*E34+$T34*U34+$AJ34*AK34</f>
        <v>1</v>
      </c>
      <c r="AX34" s="38">
        <f>$D34*F34+$T34*V34+$AJ34*AL34</f>
        <v>0</v>
      </c>
      <c r="AY34" s="38">
        <f>$D34*G34+$T34*W34+$AJ34*AM34</f>
        <v>1</v>
      </c>
      <c r="AZ34" s="38">
        <f>$D34*H34+$T34*X34+$AJ34*AN34</f>
        <v>0</v>
      </c>
      <c r="BA34" s="38">
        <f>$D34*I34+$T34*Y34+$AJ34*AO34</f>
        <v>0</v>
      </c>
      <c r="BB34" s="38">
        <f t="shared" si="0"/>
        <v>1</v>
      </c>
      <c r="BC34" s="38">
        <f>$D34*K34+$T34*AA34+$AJ34*AQ34</f>
        <v>0</v>
      </c>
      <c r="BD34" s="38">
        <f>$D34*L34+$T34*AB34+$AJ34*AR34</f>
        <v>1</v>
      </c>
      <c r="BE34" s="38">
        <f>$D34*M34+$T34*AC34+$AJ34*AS34</f>
        <v>0</v>
      </c>
      <c r="BF34" s="39">
        <f>$D34*N34+$T34*AD34+$AJ34*AT34</f>
        <v>0</v>
      </c>
    </row>
    <row r="35" spans="1:60" ht="3" customHeight="1" thickBot="1" x14ac:dyDescent="0.3">
      <c r="A35" s="19"/>
      <c r="B35" s="72"/>
      <c r="D35" s="5"/>
      <c r="E35" s="67"/>
      <c r="F35" s="67"/>
      <c r="G35" s="67"/>
      <c r="H35" s="67"/>
      <c r="I35" s="67"/>
      <c r="J35" s="67"/>
      <c r="K35" s="67"/>
      <c r="L35" s="67"/>
      <c r="M35" s="67"/>
      <c r="N35" s="67"/>
      <c r="P35" s="72"/>
      <c r="Q35" s="72"/>
      <c r="R35" s="72"/>
      <c r="T35" s="5"/>
      <c r="U35" s="67"/>
      <c r="V35" s="67"/>
      <c r="W35" s="67"/>
      <c r="X35" s="67"/>
      <c r="Y35" s="67"/>
      <c r="Z35" s="67"/>
      <c r="AA35" s="67"/>
      <c r="AB35" s="67"/>
      <c r="AC35" s="67"/>
      <c r="AD35" s="67"/>
      <c r="AF35" s="72"/>
      <c r="AG35" s="72"/>
      <c r="AH35" s="72"/>
      <c r="AI35" s="5"/>
      <c r="AJ35" s="5"/>
      <c r="AK35" s="67"/>
      <c r="AL35" s="67"/>
      <c r="AM35" s="67"/>
      <c r="AN35" s="67"/>
      <c r="AO35" s="67"/>
      <c r="AP35" s="67"/>
      <c r="AQ35" s="67"/>
      <c r="AR35" s="67"/>
      <c r="AS35" s="67"/>
      <c r="AT35" s="67"/>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70" t="s">
        <v>27</v>
      </c>
      <c r="Q36" s="70"/>
      <c r="R36" s="70"/>
      <c r="T36" s="57">
        <v>1</v>
      </c>
      <c r="U36" s="73">
        <v>1</v>
      </c>
      <c r="V36" s="73">
        <v>1</v>
      </c>
      <c r="W36" s="73">
        <v>1</v>
      </c>
      <c r="X36" s="73"/>
      <c r="Y36" s="73"/>
      <c r="Z36" s="73">
        <v>2</v>
      </c>
      <c r="AA36" s="73"/>
      <c r="AB36" s="73"/>
      <c r="AC36" s="73"/>
      <c r="AD36" s="73"/>
      <c r="AF36" s="70" t="s">
        <v>42</v>
      </c>
      <c r="AG36" s="70"/>
      <c r="AH36" s="70"/>
      <c r="AI36" s="5"/>
      <c r="AJ36" s="57"/>
      <c r="AK36" s="73">
        <v>4</v>
      </c>
      <c r="AL36" s="73"/>
      <c r="AM36" s="73"/>
      <c r="AN36" s="73"/>
      <c r="AO36" s="73"/>
      <c r="AP36" s="73">
        <v>4</v>
      </c>
      <c r="AQ36" s="73">
        <v>4000</v>
      </c>
      <c r="AR36" s="73">
        <v>3</v>
      </c>
      <c r="AS36" s="73">
        <v>2</v>
      </c>
      <c r="AT36" s="73">
        <v>1</v>
      </c>
      <c r="AU36" s="18"/>
      <c r="AW36" s="42">
        <f>$D36*E36+$T36*U36+$AJ36*AK36</f>
        <v>1</v>
      </c>
      <c r="AX36" s="38">
        <f>$D36*F36+$T36*V36+$AJ36*AL36</f>
        <v>1</v>
      </c>
      <c r="AY36" s="38">
        <f>$D36*G36+$T36*W36+$AJ36*AM36</f>
        <v>1</v>
      </c>
      <c r="AZ36" s="38">
        <f>$D36*H36+$T36*X36+$AJ36*AN36</f>
        <v>0</v>
      </c>
      <c r="BA36" s="38">
        <f>$D36*I36+$T36*Y36+$AJ36*AO36</f>
        <v>0</v>
      </c>
      <c r="BB36" s="38">
        <f t="shared" si="0"/>
        <v>2</v>
      </c>
      <c r="BC36" s="38">
        <f>$D36*K36+$T36*AA36+$AJ36*AQ36</f>
        <v>0</v>
      </c>
      <c r="BD36" s="38">
        <f>$D36*L36+$T36*AB36+$AJ36*AR36</f>
        <v>0</v>
      </c>
      <c r="BE36" s="38">
        <f>$D36*M36+$T36*AC36+$AJ36*AS36</f>
        <v>0</v>
      </c>
      <c r="BF36" s="39">
        <f>$D36*N36+$T36*AD36+$AJ36*AT36</f>
        <v>0</v>
      </c>
    </row>
    <row r="37" spans="1:60" ht="3" customHeight="1" thickBot="1" x14ac:dyDescent="0.3">
      <c r="A37" s="19"/>
      <c r="B37" s="72"/>
      <c r="D37" s="5"/>
      <c r="E37" s="67"/>
      <c r="F37" s="67"/>
      <c r="G37" s="67"/>
      <c r="H37" s="67"/>
      <c r="I37" s="67"/>
      <c r="J37" s="67"/>
      <c r="K37" s="67"/>
      <c r="L37" s="67"/>
      <c r="M37" s="67"/>
      <c r="N37" s="67"/>
      <c r="P37" s="72"/>
      <c r="Q37" s="72"/>
      <c r="R37" s="72"/>
      <c r="T37" s="5">
        <v>1</v>
      </c>
      <c r="U37" s="67"/>
      <c r="V37" s="67"/>
      <c r="W37" s="67"/>
      <c r="X37" s="67"/>
      <c r="Y37" s="67"/>
      <c r="Z37" s="67"/>
      <c r="AA37" s="67"/>
      <c r="AB37" s="67"/>
      <c r="AC37" s="67"/>
      <c r="AD37" s="67"/>
      <c r="AF37" s="72"/>
      <c r="AG37" s="72"/>
      <c r="AH37" s="72"/>
      <c r="AI37" s="5"/>
      <c r="AJ37" s="5"/>
      <c r="AK37" s="67"/>
      <c r="AL37" s="67"/>
      <c r="AM37" s="67"/>
      <c r="AN37" s="67"/>
      <c r="AO37" s="67"/>
      <c r="AP37" s="67"/>
      <c r="AQ37" s="67"/>
      <c r="AR37" s="67"/>
      <c r="AS37" s="67"/>
      <c r="AT37" s="67"/>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70" t="s">
        <v>28</v>
      </c>
      <c r="Q38" s="70"/>
      <c r="R38" s="70"/>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211"/>
      <c r="AX39" s="211"/>
      <c r="AY39" s="211"/>
      <c r="AZ39" s="211"/>
      <c r="BA39" s="211"/>
      <c r="BB39" s="211">
        <f t="shared" ref="BB39" si="1">$D39*J39+$T39*Z39+$AJ39*AP39</f>
        <v>0</v>
      </c>
      <c r="BC39" s="211"/>
      <c r="BD39" s="211"/>
      <c r="BE39" s="211"/>
      <c r="BF39" s="211"/>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162"/>
      <c r="AL40" s="162"/>
      <c r="AM40" s="162"/>
      <c r="AN40" s="162"/>
      <c r="AO40" s="162"/>
      <c r="AP40" s="162"/>
      <c r="AQ40" s="162"/>
      <c r="AR40" s="162"/>
      <c r="AS40" s="162"/>
      <c r="AT40" s="162"/>
      <c r="AU40" s="18"/>
    </row>
    <row r="41" spans="1:60" ht="3" customHeight="1" thickBot="1" x14ac:dyDescent="0.3">
      <c r="A41" s="19"/>
      <c r="B41" s="72"/>
      <c r="D41" s="5"/>
      <c r="E41" s="163"/>
      <c r="F41" s="163"/>
      <c r="G41" s="163"/>
      <c r="H41" s="163"/>
      <c r="I41" s="163"/>
      <c r="J41" s="163">
        <v>4</v>
      </c>
      <c r="K41" s="163"/>
      <c r="L41" s="163"/>
      <c r="M41" s="163"/>
      <c r="N41" s="163"/>
      <c r="P41" s="62"/>
      <c r="Q41" s="62"/>
      <c r="R41" s="62"/>
      <c r="T41" s="5"/>
      <c r="U41" s="163"/>
      <c r="V41" s="163"/>
      <c r="W41" s="163"/>
      <c r="X41" s="163"/>
      <c r="Y41" s="163"/>
      <c r="Z41" s="163"/>
      <c r="AA41" s="163"/>
      <c r="AB41" s="163"/>
      <c r="AC41" s="163"/>
      <c r="AD41" s="163"/>
      <c r="AF41" s="72"/>
      <c r="AG41" s="72"/>
      <c r="AH41" s="72"/>
      <c r="AI41" s="5"/>
      <c r="AJ41" s="5"/>
      <c r="AK41" s="163"/>
      <c r="AL41" s="163"/>
      <c r="AM41" s="163"/>
      <c r="AN41" s="163"/>
      <c r="AO41" s="163"/>
      <c r="AP41" s="163"/>
      <c r="AQ41" s="163"/>
      <c r="AR41" s="163"/>
      <c r="AS41" s="163"/>
      <c r="AT41" s="163"/>
      <c r="AU41" s="18"/>
      <c r="AW41" s="211"/>
      <c r="AX41" s="211"/>
      <c r="AY41" s="211"/>
      <c r="AZ41" s="211"/>
      <c r="BA41" s="211"/>
      <c r="BB41" s="211">
        <f t="shared" ref="BB41:BB48" si="2">$D41*J41+$T41*Z41+$AJ41*AP41</f>
        <v>0</v>
      </c>
      <c r="BC41" s="211"/>
      <c r="BD41" s="211"/>
      <c r="BE41" s="211"/>
      <c r="BF41" s="211"/>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2"/>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163"/>
      <c r="F43" s="163"/>
      <c r="G43" s="163"/>
      <c r="H43" s="163"/>
      <c r="I43" s="163"/>
      <c r="J43" s="163"/>
      <c r="K43" s="163"/>
      <c r="L43" s="163"/>
      <c r="M43" s="163"/>
      <c r="N43" s="163"/>
      <c r="P43" s="72"/>
      <c r="Q43" s="72"/>
      <c r="R43" s="72"/>
      <c r="T43" s="5"/>
      <c r="U43" s="163"/>
      <c r="V43" s="163"/>
      <c r="W43" s="163"/>
      <c r="X43" s="163"/>
      <c r="Y43" s="163"/>
      <c r="Z43" s="163"/>
      <c r="AA43" s="163"/>
      <c r="AB43" s="163"/>
      <c r="AC43" s="163"/>
      <c r="AD43" s="163"/>
      <c r="AF43" s="72"/>
      <c r="AG43" s="72"/>
      <c r="AH43" s="72"/>
      <c r="AI43" s="5"/>
      <c r="AJ43" s="5"/>
      <c r="AK43" s="163"/>
      <c r="AL43" s="163"/>
      <c r="AM43" s="163"/>
      <c r="AN43" s="163"/>
      <c r="AO43" s="163"/>
      <c r="AP43" s="163"/>
      <c r="AQ43" s="163"/>
      <c r="AR43" s="163"/>
      <c r="AS43" s="163"/>
      <c r="AT43" s="163"/>
      <c r="AU43" s="18"/>
      <c r="AW43" s="42"/>
      <c r="AX43" s="38"/>
      <c r="AY43" s="38"/>
      <c r="AZ43" s="38"/>
      <c r="BA43" s="38"/>
      <c r="BB43" s="38">
        <f t="shared" si="2"/>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2"/>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163"/>
      <c r="F45" s="163"/>
      <c r="G45" s="163"/>
      <c r="H45" s="163"/>
      <c r="I45" s="163"/>
      <c r="J45" s="163"/>
      <c r="K45" s="163"/>
      <c r="L45" s="163"/>
      <c r="M45" s="163"/>
      <c r="N45" s="163"/>
      <c r="P45" s="72"/>
      <c r="Q45" s="72"/>
      <c r="R45" s="72"/>
      <c r="T45" s="5"/>
      <c r="U45" s="163"/>
      <c r="V45" s="163"/>
      <c r="W45" s="163"/>
      <c r="X45" s="163"/>
      <c r="Y45" s="163"/>
      <c r="Z45" s="163"/>
      <c r="AA45" s="163"/>
      <c r="AB45" s="163"/>
      <c r="AC45" s="163"/>
      <c r="AD45" s="163"/>
      <c r="AF45" s="72"/>
      <c r="AG45" s="72"/>
      <c r="AH45" s="72"/>
      <c r="AI45" s="5"/>
      <c r="AJ45" s="5"/>
      <c r="AK45" s="163"/>
      <c r="AL45" s="163"/>
      <c r="AM45" s="163"/>
      <c r="AN45" s="163"/>
      <c r="AO45" s="163"/>
      <c r="AP45" s="163"/>
      <c r="AQ45" s="163"/>
      <c r="AR45" s="163"/>
      <c r="AS45" s="163"/>
      <c r="AT45" s="163"/>
      <c r="AU45" s="18"/>
      <c r="AW45" s="42"/>
      <c r="AX45" s="38"/>
      <c r="AY45" s="38"/>
      <c r="AZ45" s="38"/>
      <c r="BA45" s="38"/>
      <c r="BB45" s="38">
        <f t="shared" si="2"/>
        <v>0</v>
      </c>
      <c r="BC45" s="38"/>
      <c r="BD45" s="38"/>
      <c r="BE45" s="38"/>
      <c r="BF45" s="39"/>
    </row>
    <row r="46" spans="1:60" ht="15.75" thickBot="1" x14ac:dyDescent="0.3">
      <c r="A46" s="19"/>
      <c r="B46" s="69" t="s">
        <v>370</v>
      </c>
      <c r="D46" s="57">
        <v>1</v>
      </c>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1</v>
      </c>
      <c r="AX46" s="38">
        <f>$D46*F46+$T46*V46+$AJ46*AL46</f>
        <v>0</v>
      </c>
      <c r="AY46" s="38">
        <f>$D46*G46+$T46*W46+$AJ46*AM46</f>
        <v>1</v>
      </c>
      <c r="AZ46" s="38">
        <f>$D46*H46+$T46*X46+$AJ46*AN46</f>
        <v>0</v>
      </c>
      <c r="BA46" s="38">
        <f>$D46*I46+$T46*Y46+$AJ46*AO46</f>
        <v>0</v>
      </c>
      <c r="BB46" s="38">
        <f t="shared" si="2"/>
        <v>1</v>
      </c>
      <c r="BC46" s="38">
        <f>$D46*K46+$T46*AA46+$AJ46*AQ46</f>
        <v>0</v>
      </c>
      <c r="BD46" s="38">
        <f>$D46*L46+$T46*AB46+$AJ46*AR46</f>
        <v>0</v>
      </c>
      <c r="BE46" s="38">
        <f>$D46*M46+$T46*AC46+$AJ46*AS46</f>
        <v>0</v>
      </c>
      <c r="BF46" s="39">
        <f>$D46*N46+$T46*AD46+$AJ46*AT46</f>
        <v>0</v>
      </c>
    </row>
    <row r="47" spans="1:60" ht="3" customHeight="1" thickBot="1" x14ac:dyDescent="0.3">
      <c r="A47" s="19"/>
      <c r="B47" s="72"/>
      <c r="D47" s="5"/>
      <c r="E47" s="163"/>
      <c r="F47" s="163"/>
      <c r="G47" s="163"/>
      <c r="H47" s="163"/>
      <c r="I47" s="163"/>
      <c r="J47" s="163"/>
      <c r="K47" s="163"/>
      <c r="L47" s="163"/>
      <c r="M47" s="163"/>
      <c r="N47" s="163"/>
      <c r="P47" s="72"/>
      <c r="Q47" s="72"/>
      <c r="R47" s="72"/>
      <c r="T47" s="5"/>
      <c r="U47" s="163"/>
      <c r="V47" s="163"/>
      <c r="W47" s="163"/>
      <c r="X47" s="163"/>
      <c r="Y47" s="163"/>
      <c r="Z47" s="163"/>
      <c r="AA47" s="163"/>
      <c r="AB47" s="163"/>
      <c r="AC47" s="163"/>
      <c r="AD47" s="163"/>
      <c r="AF47" s="72"/>
      <c r="AG47" s="72"/>
      <c r="AH47" s="72"/>
      <c r="AI47" s="5"/>
      <c r="AJ47" s="5"/>
      <c r="AK47" s="163"/>
      <c r="AL47" s="163"/>
      <c r="AM47" s="163"/>
      <c r="AN47" s="163"/>
      <c r="AO47" s="163"/>
      <c r="AP47" s="163"/>
      <c r="AQ47" s="163"/>
      <c r="AR47" s="163"/>
      <c r="AS47" s="163"/>
      <c r="AT47" s="163"/>
      <c r="AU47" s="18"/>
      <c r="AW47" s="42"/>
      <c r="AX47" s="38"/>
      <c r="AY47" s="38"/>
      <c r="AZ47" s="38"/>
      <c r="BA47" s="38"/>
      <c r="BB47" s="38">
        <f t="shared" si="2"/>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2"/>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211"/>
      <c r="AX49" s="211"/>
      <c r="AY49" s="211"/>
      <c r="AZ49" s="211"/>
      <c r="BA49" s="211"/>
      <c r="BB49" s="211">
        <f t="shared" si="0"/>
        <v>0</v>
      </c>
      <c r="BC49" s="211"/>
      <c r="BD49" s="211"/>
      <c r="BE49" s="211"/>
      <c r="BF49" s="211"/>
    </row>
    <row r="50" spans="1:58" s="5" customFormat="1" ht="15.75" customHeigh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90"/>
      <c r="AL50" s="90"/>
      <c r="AM50" s="90"/>
      <c r="AN50" s="90"/>
      <c r="AO50" s="90"/>
      <c r="AP50" s="90"/>
      <c r="AQ50" s="90"/>
      <c r="AR50" s="90"/>
      <c r="AS50" s="90"/>
      <c r="AT50" s="90"/>
      <c r="AU50" s="18"/>
    </row>
    <row r="51" spans="1:58" s="5" customFormat="1" ht="5.0999999999999996"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customHeight="1" thickBot="1" x14ac:dyDescent="0.3">
      <c r="A52" s="19"/>
      <c r="B52" s="91" t="s">
        <v>150</v>
      </c>
      <c r="C52" s="94"/>
      <c r="D52" s="2">
        <f>BD66</f>
        <v>3</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211"/>
      <c r="AX52" s="211"/>
      <c r="AY52" s="211"/>
      <c r="AZ52" s="211"/>
      <c r="BA52" s="211"/>
      <c r="BB52" s="211"/>
      <c r="BC52" s="211"/>
      <c r="BD52" s="211"/>
      <c r="BE52" s="211"/>
      <c r="BF52" s="211"/>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211"/>
      <c r="AX53" s="211"/>
      <c r="AY53" s="211"/>
      <c r="AZ53" s="211"/>
      <c r="BA53" s="211"/>
      <c r="BB53" s="211">
        <f t="shared" ref="BB53" si="3">$D53*J53+$T53*Z53+$AJ53*AP53</f>
        <v>0</v>
      </c>
      <c r="BC53" s="211"/>
      <c r="BD53" s="211"/>
      <c r="BE53" s="211"/>
      <c r="BF53" s="211"/>
    </row>
    <row r="54" spans="1:58" ht="15.75" customHeight="1" thickBot="1" x14ac:dyDescent="0.3">
      <c r="A54" s="19"/>
      <c r="B54" s="468"/>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ref="BB54:BB57" si="4">$D54*J54+$T54*Z54+$AJ54*AP54</f>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4"/>
        <v>0</v>
      </c>
      <c r="BC55" s="38"/>
      <c r="BD55" s="38"/>
      <c r="BE55" s="38"/>
      <c r="BF55" s="39"/>
    </row>
    <row r="56" spans="1:58" ht="15.75" customHeight="1" thickBot="1" x14ac:dyDescent="0.3">
      <c r="A56" s="19"/>
      <c r="B56" s="468"/>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4"/>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4"/>
        <v>0</v>
      </c>
      <c r="BC57" s="38"/>
      <c r="BD57" s="38"/>
      <c r="BE57" s="38"/>
      <c r="BF57" s="39"/>
    </row>
    <row r="58" spans="1:58" ht="15.75" customHeight="1"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ref="BB58:BB63" si="5">$D58*J58+$T58*Z58+$AJ58*AP58</f>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5"/>
        <v>0</v>
      </c>
      <c r="BC59" s="38"/>
      <c r="BD59" s="38"/>
      <c r="BE59" s="38"/>
      <c r="BF59" s="39"/>
    </row>
    <row r="60" spans="1:58" ht="15.75" customHeight="1"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5"/>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5"/>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5"/>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5"/>
        <v>0</v>
      </c>
      <c r="BC63" s="38"/>
      <c r="BD63" s="38"/>
      <c r="BE63" s="38"/>
      <c r="BF63" s="39"/>
    </row>
    <row r="64" spans="1:58" ht="15.75" customHeight="1"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ref="BB64:BB65" si="6">$D64*J64+$T64*Z64+$AJ64*AP64</f>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6"/>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67"/>
      <c r="AL66" s="67"/>
      <c r="AM66" s="67"/>
      <c r="AN66" s="67"/>
      <c r="AO66" s="67"/>
      <c r="AP66" s="67"/>
      <c r="AQ66" s="67"/>
      <c r="AR66" s="67"/>
      <c r="AS66" s="67"/>
      <c r="AT66" s="67"/>
      <c r="AU66" s="18"/>
      <c r="AW66" s="43">
        <f>SUM(AW10:AW49)</f>
        <v>7</v>
      </c>
      <c r="AX66" s="40">
        <f t="shared" ref="AX66:BF66" si="7">SUM(AX10:AX48)</f>
        <v>4</v>
      </c>
      <c r="AY66" s="40">
        <f t="shared" si="7"/>
        <v>5</v>
      </c>
      <c r="AZ66" s="40">
        <f t="shared" si="7"/>
        <v>8</v>
      </c>
      <c r="BA66" s="40">
        <f t="shared" si="7"/>
        <v>-8</v>
      </c>
      <c r="BB66" s="40">
        <f t="shared" si="7"/>
        <v>14</v>
      </c>
      <c r="BC66" s="40">
        <f t="shared" si="7"/>
        <v>2500</v>
      </c>
      <c r="BD66" s="40">
        <f t="shared" si="7"/>
        <v>3</v>
      </c>
      <c r="BE66" s="40">
        <f t="shared" si="7"/>
        <v>0</v>
      </c>
      <c r="BF66" s="41">
        <f t="shared" si="7"/>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74"/>
      <c r="AL68" s="74"/>
      <c r="AM68" s="74"/>
      <c r="AN68" s="74"/>
      <c r="AO68" s="74"/>
      <c r="AP68" s="74"/>
      <c r="AQ68" s="74"/>
      <c r="AR68" s="74"/>
      <c r="AS68" s="74"/>
      <c r="AT68" s="74"/>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74"/>
      <c r="AL69" s="74"/>
      <c r="AM69" s="74"/>
      <c r="AN69" s="74"/>
      <c r="AO69" s="74"/>
      <c r="AP69" s="74"/>
      <c r="AQ69" s="74"/>
      <c r="AR69" s="74"/>
      <c r="AS69" s="74"/>
      <c r="AT69" s="74"/>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74"/>
      <c r="AL70" s="74"/>
      <c r="AM70" s="74"/>
      <c r="AN70" s="74"/>
      <c r="AO70" s="74"/>
      <c r="AP70" s="74"/>
      <c r="AQ70" s="74"/>
      <c r="AR70" s="74"/>
      <c r="AS70" s="74"/>
      <c r="AT70" s="74"/>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74"/>
      <c r="AL71" s="74"/>
      <c r="AM71" s="74"/>
      <c r="AN71" s="74"/>
      <c r="AO71" s="74"/>
      <c r="AP71" s="74"/>
      <c r="AQ71" s="74"/>
      <c r="AR71" s="74"/>
      <c r="AS71" s="74"/>
      <c r="AT71" s="74"/>
      <c r="AU71" s="18"/>
    </row>
    <row r="72" spans="1:58" ht="5.0999999999999996"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P42:R42"/>
    <mergeCell ref="P44:R44"/>
    <mergeCell ref="P46:R46"/>
    <mergeCell ref="P48:R48"/>
    <mergeCell ref="AF42:AH42"/>
    <mergeCell ref="AF44:AH44"/>
    <mergeCell ref="AF46:AH46"/>
    <mergeCell ref="AF48:AH48"/>
    <mergeCell ref="AF60:AJ60"/>
    <mergeCell ref="P60:T60"/>
    <mergeCell ref="B60:D60"/>
    <mergeCell ref="B62:D62"/>
    <mergeCell ref="P62:T62"/>
    <mergeCell ref="AF62:AJ62"/>
    <mergeCell ref="AF58:AJ58"/>
    <mergeCell ref="B56:D56"/>
    <mergeCell ref="B58:D58"/>
    <mergeCell ref="P54:T54"/>
    <mergeCell ref="P56:T56"/>
    <mergeCell ref="P58:T58"/>
    <mergeCell ref="B66:AJ66"/>
    <mergeCell ref="B68:AJ71"/>
    <mergeCell ref="AF10:AH10"/>
    <mergeCell ref="AF12:AH12"/>
    <mergeCell ref="AF14:AH14"/>
    <mergeCell ref="AF16:AH16"/>
    <mergeCell ref="P12:R12"/>
    <mergeCell ref="P52:R52"/>
    <mergeCell ref="AF52:AH52"/>
    <mergeCell ref="B50:AJ50"/>
    <mergeCell ref="B54:D54"/>
    <mergeCell ref="B64:D64"/>
    <mergeCell ref="P64:T64"/>
    <mergeCell ref="AF64:AJ64"/>
    <mergeCell ref="AF54:AJ54"/>
    <mergeCell ref="AF56:AJ56"/>
    <mergeCell ref="B40:AJ40"/>
    <mergeCell ref="AF2:AH2"/>
    <mergeCell ref="B8:AJ8"/>
    <mergeCell ref="P6:R6"/>
    <mergeCell ref="AF4:AH4"/>
    <mergeCell ref="D2:T2"/>
    <mergeCell ref="AF6:AH6"/>
    <mergeCell ref="P4:R4"/>
    <mergeCell ref="P26:R26"/>
    <mergeCell ref="P10:R10"/>
  </mergeCells>
  <dataValidations xWindow="462" yWindow="329" count="56">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Barracks (6 BP)" prompt="A building to house city guards, militia, and military forces. _x000a__x000a_Defense Modifier +2; Unrest –1." sqref="D16"/>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rewery (6 BP)" prompt="A building for beermaking, winemaking, or similar use._x000a__x000a_ Loyalty +1, Stability +1." sqref="D20"/>
    <dataValidation allowBlank="1" showInputMessage="1" showErrorMessage="1" promptTitle="Brothel (4 BP)" prompt="[Must be adjacent to one house]_x000a__x000a_A place to pay for companionship of any sort. _x000a__x000a_Economy +1, Loyalty +2; Unrest +1." sqref="D22"/>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Aviary (8 BP)" prompt="A building to cultivate birds to keep the area free from small pests and to send messages._x000a__x000a_Stability +2" sqref="D44"/>
    <dataValidation allowBlank="1" showInputMessage="1" showErrorMessage="1" promptTitle="Dump (4 BP)" prompt="A centralized place to dispose of refuse._x000a__x000a_Loyalty +1, Stability +1." sqref="D32"/>
    <dataValidation allowBlank="1" showInputMessage="1" showErrorMessage="1" promptTitle="Butcher (6 BP)" prompt="A building for slaughtering animals and selling meat._x000a__x000a_Loyalty +1, Economy +1" sqref="D48"/>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Granary (12 BP):" prompt="A place to store grain and food. _x000a__x000a_Loyalty +1, Stability +1." sqref="D38"/>
    <dataValidation allowBlank="1" showInputMessage="1" showErrorMessage="1" promptTitle="Graveyard (4 BP)" prompt="A plot of land to honor and bury the dead. _x000a__x000a_Loyalty +1." sqref="T10"/>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Jail (14 BP)" prompt="A fortified structure for housing criminals._x000a__x000a_Loyalty +2, Stability +2; Unrest –2." sqref="T20"/>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Mansion (10 BP)" prompt="A single huge manor housing a rich family and its servants. _x000a__x000a_Stability +1." sqref="T28"/>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Park (4 BP)" prompt="A plot of land set aside for its natural beauty._x000a__x000a_Loyalty +1; Unrest –1." sqref="T38"/>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Shrine (8 BP)" prompt="A small shrine or similar holy site. _x000a__x000a_1 minor item; _x000a__x000a_Loyalty +1; Unrest –1." sqref="AJ14"/>
    <dataValidation allowBlank="1" showInputMessage="1" showErrorMessage="1" promptTitle="Smith (6 BP)" prompt="An armor smith, blacksmith, or weapon smith. _x000a__x000a_Economy +1, Stability +1." sqref="AJ16"/>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Weaver (6 BP)" prompt="A building for weaving fabric and making clothes._x000a__x000a_Economy +1, Stability +1" sqref="AJ44"/>
    <dataValidation allowBlank="1" showInputMessage="1" showErrorMessage="1" promptTitle="Witches Hut (20 BP)" prompt="The home and brewery for a witch._x000a__x000a_2 minor items, 1 medium item._x000a__x000a_Economy +1, Unrest +1" sqref="AJ46"/>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Monastery (6 BP)" prompt="A place for monks to gather, train and worship._x000a__x000a_Loyalty +1, Stability +1" sqref="T48"/>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Physician (10 BP)" prompt="A healer and surgery, caring for the people._x000a__x000a_+1 Loyalty, +1 Stability, -1 Unrest" sqref="AJ48"/>
  </dataValidations>
  <printOptions horizontalCentered="1" verticalCentered="1"/>
  <pageMargins left="0.70866141732283472" right="0.70866141732283472" top="0.74803149606299213" bottom="0.74803149606299213" header="0.31496062992125984" footer="0.31496062992125984"/>
  <pageSetup paperSize="9" scale="84" orientation="portrait" r:id="rId1"/>
  <headerFooter>
    <oddHeader>&amp;A</oddHeader>
    <oddFooter>&amp;CPage &amp;P&amp;R&amp;D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H73"/>
  <sheetViews>
    <sheetView zoomScale="80" zoomScaleNormal="80" workbookViewId="0">
      <selection activeCell="D2" sqref="D2:T2"/>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209"/>
      <c r="V2" s="209"/>
      <c r="W2" s="209"/>
      <c r="X2" s="209"/>
      <c r="Y2" s="209"/>
      <c r="Z2" s="209"/>
      <c r="AA2" s="209"/>
      <c r="AB2" s="209"/>
      <c r="AC2" s="209"/>
      <c r="AD2" s="209"/>
      <c r="AF2" s="454" t="s">
        <v>96</v>
      </c>
      <c r="AG2" s="454"/>
      <c r="AH2" s="454"/>
      <c r="AI2" s="5"/>
      <c r="AJ2" s="46">
        <f>IF((BC66+IF(D2&lt;&gt;0,200,0))&gt;16000,16000, (BC66+IF(D2&lt;&gt;0,200,0)))</f>
        <v>0</v>
      </c>
      <c r="AK2" s="209"/>
      <c r="AL2" s="209"/>
      <c r="AM2" s="209"/>
      <c r="AN2" s="209"/>
      <c r="AO2" s="209"/>
      <c r="AP2" s="209"/>
      <c r="AQ2" s="209"/>
      <c r="AR2" s="209"/>
      <c r="AS2" s="209"/>
      <c r="AT2" s="209"/>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211"/>
      <c r="AK3" s="11"/>
      <c r="AL3" s="11"/>
      <c r="AM3" s="11"/>
      <c r="AN3" s="11"/>
      <c r="AO3" s="11"/>
      <c r="AP3" s="11"/>
      <c r="AQ3" s="11"/>
      <c r="AR3" s="11"/>
      <c r="AS3" s="11"/>
      <c r="AT3" s="11"/>
      <c r="AU3" s="22"/>
    </row>
    <row r="4" spans="1:58" ht="15.75" thickBot="1" x14ac:dyDescent="0.3">
      <c r="A4" s="19"/>
      <c r="B4" s="213"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213"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211"/>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211"/>
      <c r="AK7" s="21"/>
      <c r="AL7" s="21"/>
      <c r="AM7" s="21"/>
      <c r="AN7" s="21"/>
      <c r="AO7" s="21"/>
      <c r="AP7" s="21"/>
      <c r="AQ7" s="21"/>
      <c r="AR7" s="21"/>
      <c r="AS7" s="21"/>
      <c r="AT7" s="21"/>
      <c r="AU7" s="22"/>
    </row>
    <row r="8" spans="1:58" s="5" customFormat="1" ht="15.75" customHeigh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210"/>
      <c r="AL8" s="210"/>
      <c r="AM8" s="210"/>
      <c r="AN8" s="210"/>
      <c r="AO8" s="210"/>
      <c r="AP8" s="210"/>
      <c r="AQ8" s="210"/>
      <c r="AR8" s="210"/>
      <c r="AS8" s="210"/>
      <c r="AT8" s="210"/>
      <c r="AU8" s="18"/>
    </row>
    <row r="9" spans="1:58" s="5" customFormat="1" ht="5.0999999999999996"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3" customHeight="1" thickBot="1" x14ac:dyDescent="0.3">
      <c r="A11" s="19"/>
      <c r="B11" s="72"/>
      <c r="D11" s="5"/>
      <c r="E11" s="209"/>
      <c r="F11" s="209"/>
      <c r="G11" s="209"/>
      <c r="H11" s="209"/>
      <c r="I11" s="209"/>
      <c r="J11" s="209"/>
      <c r="K11" s="209"/>
      <c r="L11" s="209"/>
      <c r="M11" s="209"/>
      <c r="N11" s="209"/>
      <c r="R11" s="5"/>
      <c r="T11" s="5"/>
      <c r="U11" s="209"/>
      <c r="V11" s="209"/>
      <c r="W11" s="209"/>
      <c r="X11" s="209"/>
      <c r="Y11" s="209"/>
      <c r="Z11" s="209"/>
      <c r="AA11" s="209"/>
      <c r="AB11" s="209"/>
      <c r="AC11" s="209"/>
      <c r="AD11" s="209"/>
      <c r="AF11" s="72"/>
      <c r="AG11" s="72"/>
      <c r="AH11" s="72"/>
      <c r="AI11" s="5"/>
      <c r="AJ11" s="5"/>
      <c r="AK11" s="209"/>
      <c r="AL11" s="209"/>
      <c r="AM11" s="209"/>
      <c r="AN11" s="209"/>
      <c r="AO11" s="209"/>
      <c r="AP11" s="209"/>
      <c r="AQ11" s="209"/>
      <c r="AR11" s="209"/>
      <c r="AS11" s="209"/>
      <c r="AT11" s="209"/>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209"/>
      <c r="F13" s="209"/>
      <c r="G13" s="209"/>
      <c r="H13" s="209"/>
      <c r="I13" s="209"/>
      <c r="J13" s="209"/>
      <c r="K13" s="209"/>
      <c r="L13" s="209"/>
      <c r="M13" s="209"/>
      <c r="N13" s="209"/>
      <c r="R13" s="5"/>
      <c r="T13" s="5"/>
      <c r="U13" s="209"/>
      <c r="V13" s="209"/>
      <c r="W13" s="209"/>
      <c r="X13" s="209"/>
      <c r="Y13" s="209"/>
      <c r="Z13" s="209"/>
      <c r="AA13" s="209"/>
      <c r="AB13" s="209"/>
      <c r="AC13" s="209"/>
      <c r="AD13" s="209"/>
      <c r="AF13" s="72"/>
      <c r="AG13" s="72"/>
      <c r="AH13" s="72"/>
      <c r="AI13" s="5"/>
      <c r="AJ13" s="5"/>
      <c r="AK13" s="209"/>
      <c r="AL13" s="209"/>
      <c r="AM13" s="209"/>
      <c r="AN13" s="209"/>
      <c r="AO13" s="209"/>
      <c r="AP13" s="209"/>
      <c r="AQ13" s="209"/>
      <c r="AR13" s="209"/>
      <c r="AS13" s="209"/>
      <c r="AT13" s="209"/>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213" t="s">
        <v>16</v>
      </c>
      <c r="Q14" s="213"/>
      <c r="R14" s="213"/>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209"/>
      <c r="F15" s="209"/>
      <c r="G15" s="209"/>
      <c r="H15" s="209"/>
      <c r="I15" s="209"/>
      <c r="J15" s="209"/>
      <c r="K15" s="209"/>
      <c r="L15" s="209"/>
      <c r="M15" s="209"/>
      <c r="N15" s="209"/>
      <c r="P15" s="72"/>
      <c r="Q15" s="72"/>
      <c r="R15" s="72"/>
      <c r="T15" s="5"/>
      <c r="U15" s="209"/>
      <c r="V15" s="209"/>
      <c r="W15" s="209"/>
      <c r="X15" s="209"/>
      <c r="Y15" s="209"/>
      <c r="Z15" s="209"/>
      <c r="AA15" s="209"/>
      <c r="AB15" s="209"/>
      <c r="AC15" s="209"/>
      <c r="AD15" s="209"/>
      <c r="AF15" s="72"/>
      <c r="AG15" s="72"/>
      <c r="AH15" s="72"/>
      <c r="AI15" s="5"/>
      <c r="AJ15" s="5"/>
      <c r="AK15" s="209"/>
      <c r="AL15" s="209"/>
      <c r="AM15" s="209"/>
      <c r="AN15" s="209"/>
      <c r="AO15" s="209"/>
      <c r="AP15" s="209"/>
      <c r="AQ15" s="209"/>
      <c r="AR15" s="209"/>
      <c r="AS15" s="209"/>
      <c r="AT15" s="209"/>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213" t="s">
        <v>17</v>
      </c>
      <c r="Q16" s="213"/>
      <c r="R16" s="213"/>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209"/>
      <c r="F17" s="209"/>
      <c r="G17" s="209"/>
      <c r="H17" s="209"/>
      <c r="I17" s="209"/>
      <c r="J17" s="209"/>
      <c r="K17" s="209"/>
      <c r="L17" s="209"/>
      <c r="M17" s="209"/>
      <c r="N17" s="209"/>
      <c r="P17" s="72"/>
      <c r="Q17" s="72"/>
      <c r="R17" s="72"/>
      <c r="T17" s="5"/>
      <c r="U17" s="209"/>
      <c r="V17" s="209"/>
      <c r="W17" s="209"/>
      <c r="X17" s="209"/>
      <c r="Y17" s="209"/>
      <c r="Z17" s="209"/>
      <c r="AA17" s="209"/>
      <c r="AB17" s="209"/>
      <c r="AC17" s="209"/>
      <c r="AD17" s="209"/>
      <c r="AF17" s="72"/>
      <c r="AG17" s="72"/>
      <c r="AH17" s="72"/>
      <c r="AI17" s="5"/>
      <c r="AJ17" s="5"/>
      <c r="AK17" s="209"/>
      <c r="AL17" s="209"/>
      <c r="AM17" s="209"/>
      <c r="AN17" s="209"/>
      <c r="AO17" s="209"/>
      <c r="AP17" s="209"/>
      <c r="AQ17" s="209"/>
      <c r="AR17" s="209"/>
      <c r="AS17" s="209"/>
      <c r="AT17" s="209"/>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213" t="s">
        <v>18</v>
      </c>
      <c r="Q18" s="213"/>
      <c r="R18" s="213"/>
      <c r="T18" s="57"/>
      <c r="U18" s="73">
        <v>1</v>
      </c>
      <c r="V18" s="73">
        <v>1</v>
      </c>
      <c r="W18" s="73"/>
      <c r="X18" s="73"/>
      <c r="Y18" s="73"/>
      <c r="Z18" s="73">
        <v>1</v>
      </c>
      <c r="AA18" s="73">
        <v>500</v>
      </c>
      <c r="AB18" s="73"/>
      <c r="AC18" s="73"/>
      <c r="AD18" s="73"/>
      <c r="AF18" s="213" t="s">
        <v>33</v>
      </c>
      <c r="AG18" s="213"/>
      <c r="AH18" s="213"/>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209"/>
      <c r="F19" s="209"/>
      <c r="G19" s="209"/>
      <c r="H19" s="209"/>
      <c r="I19" s="209"/>
      <c r="J19" s="209"/>
      <c r="K19" s="209"/>
      <c r="L19" s="209"/>
      <c r="M19" s="209"/>
      <c r="N19" s="209"/>
      <c r="P19" s="72"/>
      <c r="Q19" s="72"/>
      <c r="R19" s="72"/>
      <c r="T19" s="5"/>
      <c r="U19" s="209"/>
      <c r="V19" s="209"/>
      <c r="W19" s="209"/>
      <c r="X19" s="209"/>
      <c r="Y19" s="209"/>
      <c r="Z19" s="209"/>
      <c r="AA19" s="209"/>
      <c r="AB19" s="209"/>
      <c r="AC19" s="209"/>
      <c r="AD19" s="209"/>
      <c r="AF19" s="72"/>
      <c r="AG19" s="72"/>
      <c r="AH19" s="72"/>
      <c r="AI19" s="5"/>
      <c r="AJ19" s="5"/>
      <c r="AK19" s="209"/>
      <c r="AL19" s="209"/>
      <c r="AM19" s="209"/>
      <c r="AN19" s="209"/>
      <c r="AO19" s="209"/>
      <c r="AP19" s="209"/>
      <c r="AQ19" s="209"/>
      <c r="AR19" s="209"/>
      <c r="AS19" s="209"/>
      <c r="AT19" s="209"/>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213" t="s">
        <v>19</v>
      </c>
      <c r="Q20" s="213"/>
      <c r="R20" s="213"/>
      <c r="T20" s="57"/>
      <c r="U20" s="73"/>
      <c r="V20" s="73">
        <v>2</v>
      </c>
      <c r="W20" s="73">
        <v>2</v>
      </c>
      <c r="X20" s="73"/>
      <c r="Y20" s="73">
        <v>-2</v>
      </c>
      <c r="Z20" s="73">
        <v>1</v>
      </c>
      <c r="AA20" s="73"/>
      <c r="AB20" s="73"/>
      <c r="AC20" s="73"/>
      <c r="AD20" s="73"/>
      <c r="AF20" s="213" t="s">
        <v>34</v>
      </c>
      <c r="AG20" s="213"/>
      <c r="AH20" s="213"/>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209"/>
      <c r="F21" s="209"/>
      <c r="G21" s="209"/>
      <c r="H21" s="209"/>
      <c r="I21" s="209"/>
      <c r="J21" s="209"/>
      <c r="K21" s="209"/>
      <c r="L21" s="209"/>
      <c r="M21" s="209"/>
      <c r="N21" s="209"/>
      <c r="P21" s="72"/>
      <c r="Q21" s="72"/>
      <c r="R21" s="72"/>
      <c r="T21" s="5"/>
      <c r="U21" s="209"/>
      <c r="V21" s="209"/>
      <c r="W21" s="209"/>
      <c r="X21" s="209"/>
      <c r="Y21" s="209"/>
      <c r="Z21" s="209"/>
      <c r="AA21" s="209"/>
      <c r="AB21" s="209"/>
      <c r="AC21" s="209"/>
      <c r="AD21" s="209"/>
      <c r="AF21" s="72"/>
      <c r="AG21" s="72"/>
      <c r="AH21" s="72"/>
      <c r="AI21" s="5"/>
      <c r="AJ21" s="5"/>
      <c r="AK21" s="209"/>
      <c r="AL21" s="209"/>
      <c r="AM21" s="209"/>
      <c r="AN21" s="209"/>
      <c r="AO21" s="209"/>
      <c r="AP21" s="209"/>
      <c r="AQ21" s="209"/>
      <c r="AR21" s="209"/>
      <c r="AS21" s="209"/>
      <c r="AT21" s="209"/>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213" t="s">
        <v>20</v>
      </c>
      <c r="Q22" s="213"/>
      <c r="R22" s="213"/>
      <c r="T22" s="57"/>
      <c r="U22" s="73">
        <v>1</v>
      </c>
      <c r="V22" s="73">
        <v>1</v>
      </c>
      <c r="W22" s="73"/>
      <c r="X22" s="73"/>
      <c r="Y22" s="73"/>
      <c r="Z22" s="73">
        <v>1</v>
      </c>
      <c r="AA22" s="73"/>
      <c r="AB22" s="73"/>
      <c r="AC22" s="73"/>
      <c r="AD22" s="73"/>
      <c r="AF22" s="213" t="s">
        <v>35</v>
      </c>
      <c r="AG22" s="213"/>
      <c r="AH22" s="213"/>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209"/>
      <c r="F23" s="209"/>
      <c r="G23" s="209"/>
      <c r="H23" s="209"/>
      <c r="I23" s="209"/>
      <c r="J23" s="209"/>
      <c r="K23" s="209"/>
      <c r="L23" s="209"/>
      <c r="M23" s="209"/>
      <c r="N23" s="209"/>
      <c r="O23" s="11"/>
      <c r="P23" s="72"/>
      <c r="Q23" s="72"/>
      <c r="R23" s="72"/>
      <c r="T23" s="11"/>
      <c r="U23" s="209"/>
      <c r="V23" s="209"/>
      <c r="W23" s="209"/>
      <c r="X23" s="209"/>
      <c r="Y23" s="209"/>
      <c r="Z23" s="209"/>
      <c r="AA23" s="209"/>
      <c r="AB23" s="209"/>
      <c r="AC23" s="209"/>
      <c r="AD23" s="209"/>
      <c r="AF23" s="72"/>
      <c r="AG23" s="72"/>
      <c r="AH23" s="72"/>
      <c r="AI23" s="5"/>
      <c r="AJ23" s="5"/>
      <c r="AK23" s="209"/>
      <c r="AL23" s="209"/>
      <c r="AM23" s="209"/>
      <c r="AN23" s="209"/>
      <c r="AO23" s="209"/>
      <c r="AP23" s="209"/>
      <c r="AQ23" s="209"/>
      <c r="AR23" s="209"/>
      <c r="AS23" s="209"/>
      <c r="AT23" s="209"/>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213" t="s">
        <v>21</v>
      </c>
      <c r="Q24" s="213"/>
      <c r="R24" s="213"/>
      <c r="T24" s="57"/>
      <c r="U24" s="73">
        <v>1</v>
      </c>
      <c r="V24" s="73"/>
      <c r="W24" s="73"/>
      <c r="X24" s="73"/>
      <c r="Y24" s="73"/>
      <c r="Z24" s="73">
        <v>1</v>
      </c>
      <c r="AA24" s="73">
        <v>2000</v>
      </c>
      <c r="AB24" s="73">
        <v>2</v>
      </c>
      <c r="AC24" s="73"/>
      <c r="AD24" s="73"/>
      <c r="AF24" s="213" t="s">
        <v>36</v>
      </c>
      <c r="AG24" s="213"/>
      <c r="AH24" s="213"/>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212"/>
      <c r="F25" s="212"/>
      <c r="G25" s="212"/>
      <c r="H25" s="212"/>
      <c r="I25" s="212"/>
      <c r="J25" s="212"/>
      <c r="K25" s="212"/>
      <c r="L25" s="212"/>
      <c r="M25" s="212"/>
      <c r="N25" s="212"/>
      <c r="P25" s="72"/>
      <c r="Q25" s="72"/>
      <c r="R25" s="72"/>
      <c r="T25" s="5"/>
      <c r="U25" s="212"/>
      <c r="V25" s="212"/>
      <c r="W25" s="212"/>
      <c r="X25" s="212"/>
      <c r="Y25" s="212"/>
      <c r="Z25" s="212"/>
      <c r="AA25" s="212"/>
      <c r="AB25" s="212"/>
      <c r="AC25" s="212"/>
      <c r="AD25" s="212"/>
      <c r="AF25" s="72"/>
      <c r="AG25" s="72"/>
      <c r="AH25" s="72"/>
      <c r="AI25" s="5"/>
      <c r="AJ25" s="5"/>
      <c r="AK25" s="212"/>
      <c r="AL25" s="212"/>
      <c r="AM25" s="212"/>
      <c r="AN25" s="212"/>
      <c r="AO25" s="212"/>
      <c r="AP25" s="212"/>
      <c r="AQ25" s="212"/>
      <c r="AR25" s="212"/>
      <c r="AS25" s="212"/>
      <c r="AT25" s="212"/>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213" t="s">
        <v>37</v>
      </c>
      <c r="AG26" s="213"/>
      <c r="AH26" s="213"/>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209"/>
      <c r="F27" s="209"/>
      <c r="G27" s="209"/>
      <c r="H27" s="209"/>
      <c r="I27" s="209"/>
      <c r="J27" s="209">
        <v>4</v>
      </c>
      <c r="K27" s="209"/>
      <c r="L27" s="209"/>
      <c r="M27" s="209"/>
      <c r="N27" s="209"/>
      <c r="P27" s="62"/>
      <c r="Q27" s="62"/>
      <c r="R27" s="62"/>
      <c r="T27" s="5"/>
      <c r="U27" s="209"/>
      <c r="V27" s="209"/>
      <c r="W27" s="209"/>
      <c r="X27" s="209"/>
      <c r="Y27" s="209"/>
      <c r="Z27" s="209"/>
      <c r="AA27" s="209"/>
      <c r="AB27" s="209"/>
      <c r="AC27" s="209"/>
      <c r="AD27" s="209"/>
      <c r="AF27" s="72"/>
      <c r="AG27" s="72"/>
      <c r="AH27" s="72"/>
      <c r="AI27" s="5"/>
      <c r="AJ27" s="5"/>
      <c r="AK27" s="209"/>
      <c r="AL27" s="209"/>
      <c r="AM27" s="209"/>
      <c r="AN27" s="209"/>
      <c r="AO27" s="209"/>
      <c r="AP27" s="209"/>
      <c r="AQ27" s="209"/>
      <c r="AR27" s="209"/>
      <c r="AS27" s="209"/>
      <c r="AT27" s="209"/>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213" t="s">
        <v>23</v>
      </c>
      <c r="Q28" s="213"/>
      <c r="R28" s="213"/>
      <c r="T28" s="57"/>
      <c r="U28" s="73"/>
      <c r="V28" s="73"/>
      <c r="W28" s="73">
        <v>1</v>
      </c>
      <c r="X28" s="73"/>
      <c r="Y28" s="73"/>
      <c r="Z28" s="73">
        <v>1</v>
      </c>
      <c r="AA28" s="73"/>
      <c r="AB28" s="73"/>
      <c r="AC28" s="73"/>
      <c r="AD28" s="73"/>
      <c r="AF28" s="213" t="s">
        <v>38</v>
      </c>
      <c r="AG28" s="213"/>
      <c r="AH28" s="213"/>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209"/>
      <c r="F29" s="209"/>
      <c r="G29" s="209"/>
      <c r="H29" s="209"/>
      <c r="I29" s="209"/>
      <c r="J29" s="209"/>
      <c r="K29" s="209"/>
      <c r="L29" s="209"/>
      <c r="M29" s="209"/>
      <c r="N29" s="209"/>
      <c r="P29" s="72"/>
      <c r="Q29" s="72"/>
      <c r="R29" s="72"/>
      <c r="T29" s="5"/>
      <c r="U29" s="209"/>
      <c r="V29" s="209"/>
      <c r="W29" s="209"/>
      <c r="X29" s="209"/>
      <c r="Y29" s="209"/>
      <c r="Z29" s="209"/>
      <c r="AA29" s="209"/>
      <c r="AB29" s="209"/>
      <c r="AC29" s="209"/>
      <c r="AD29" s="209"/>
      <c r="AF29" s="72"/>
      <c r="AG29" s="72"/>
      <c r="AH29" s="72"/>
      <c r="AI29" s="5"/>
      <c r="AJ29" s="5"/>
      <c r="AK29" s="209"/>
      <c r="AL29" s="209"/>
      <c r="AM29" s="209"/>
      <c r="AN29" s="209"/>
      <c r="AO29" s="209"/>
      <c r="AP29" s="209"/>
      <c r="AQ29" s="209"/>
      <c r="AR29" s="209"/>
      <c r="AS29" s="209"/>
      <c r="AT29" s="209"/>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213" t="s">
        <v>24</v>
      </c>
      <c r="Q30" s="213"/>
      <c r="R30" s="213"/>
      <c r="T30" s="57"/>
      <c r="U30" s="73">
        <v>2</v>
      </c>
      <c r="V30" s="73"/>
      <c r="W30" s="73">
        <v>2</v>
      </c>
      <c r="X30" s="73"/>
      <c r="Y30" s="73"/>
      <c r="Z30" s="73">
        <v>2</v>
      </c>
      <c r="AA30" s="73">
        <v>2000</v>
      </c>
      <c r="AB30" s="73">
        <v>2</v>
      </c>
      <c r="AC30" s="73"/>
      <c r="AD30" s="73"/>
      <c r="AF30" s="213" t="s">
        <v>39</v>
      </c>
      <c r="AG30" s="213"/>
      <c r="AH30" s="213"/>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209"/>
      <c r="F31" s="209"/>
      <c r="G31" s="209"/>
      <c r="H31" s="209"/>
      <c r="I31" s="209"/>
      <c r="J31" s="209"/>
      <c r="K31" s="209"/>
      <c r="L31" s="209"/>
      <c r="M31" s="209"/>
      <c r="N31" s="209"/>
      <c r="P31" s="72"/>
      <c r="Q31" s="72"/>
      <c r="R31" s="72"/>
      <c r="T31" s="5"/>
      <c r="U31" s="209"/>
      <c r="V31" s="209"/>
      <c r="W31" s="209"/>
      <c r="X31" s="209"/>
      <c r="Y31" s="209"/>
      <c r="Z31" s="209"/>
      <c r="AA31" s="209"/>
      <c r="AB31" s="209"/>
      <c r="AC31" s="209"/>
      <c r="AD31" s="209"/>
      <c r="AF31" s="72"/>
      <c r="AG31" s="72"/>
      <c r="AH31" s="72"/>
      <c r="AI31" s="5"/>
      <c r="AJ31" s="5"/>
      <c r="AK31" s="209"/>
      <c r="AL31" s="209"/>
      <c r="AM31" s="209"/>
      <c r="AN31" s="209"/>
      <c r="AO31" s="209"/>
      <c r="AP31" s="209"/>
      <c r="AQ31" s="209"/>
      <c r="AR31" s="209"/>
      <c r="AS31" s="209"/>
      <c r="AT31" s="209"/>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213" t="s">
        <v>25</v>
      </c>
      <c r="Q32" s="213"/>
      <c r="R32" s="213"/>
      <c r="T32" s="57"/>
      <c r="U32" s="73">
        <v>1</v>
      </c>
      <c r="V32" s="73"/>
      <c r="W32" s="73">
        <v>1</v>
      </c>
      <c r="X32" s="73"/>
      <c r="Y32" s="73"/>
      <c r="Z32" s="73">
        <v>1</v>
      </c>
      <c r="AA32" s="73"/>
      <c r="AB32" s="73"/>
      <c r="AC32" s="73"/>
      <c r="AD32" s="73"/>
      <c r="AF32" s="213" t="s">
        <v>40</v>
      </c>
      <c r="AG32" s="213"/>
      <c r="AH32" s="213"/>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209"/>
      <c r="F33" s="209"/>
      <c r="G33" s="209"/>
      <c r="H33" s="209"/>
      <c r="I33" s="209"/>
      <c r="J33" s="209"/>
      <c r="K33" s="209"/>
      <c r="L33" s="209"/>
      <c r="M33" s="209"/>
      <c r="N33" s="209"/>
      <c r="P33" s="72"/>
      <c r="Q33" s="72"/>
      <c r="R33" s="72"/>
      <c r="T33" s="5"/>
      <c r="U33" s="209"/>
      <c r="V33" s="209"/>
      <c r="W33" s="209"/>
      <c r="X33" s="209"/>
      <c r="Y33" s="209"/>
      <c r="Z33" s="209"/>
      <c r="AA33" s="209"/>
      <c r="AB33" s="209"/>
      <c r="AC33" s="209"/>
      <c r="AD33" s="209"/>
      <c r="AF33" s="72"/>
      <c r="AG33" s="72"/>
      <c r="AH33" s="72"/>
      <c r="AI33" s="5"/>
      <c r="AJ33" s="5"/>
      <c r="AK33" s="209"/>
      <c r="AL33" s="209"/>
      <c r="AM33" s="209"/>
      <c r="AN33" s="209"/>
      <c r="AO33" s="209"/>
      <c r="AP33" s="209"/>
      <c r="AQ33" s="209"/>
      <c r="AR33" s="209"/>
      <c r="AS33" s="209"/>
      <c r="AT33" s="209"/>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213" t="s">
        <v>26</v>
      </c>
      <c r="Q34" s="213"/>
      <c r="R34" s="213"/>
      <c r="T34" s="57"/>
      <c r="U34" s="73"/>
      <c r="V34" s="73">
        <v>3</v>
      </c>
      <c r="W34" s="73"/>
      <c r="X34" s="73"/>
      <c r="Y34" s="73">
        <v>-1</v>
      </c>
      <c r="Z34" s="73">
        <v>1</v>
      </c>
      <c r="AA34" s="73"/>
      <c r="AB34" s="73"/>
      <c r="AC34" s="73"/>
      <c r="AD34" s="73"/>
      <c r="AF34" s="213" t="s">
        <v>41</v>
      </c>
      <c r="AG34" s="213"/>
      <c r="AH34" s="213"/>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209"/>
      <c r="F35" s="209"/>
      <c r="G35" s="209"/>
      <c r="H35" s="209"/>
      <c r="I35" s="209"/>
      <c r="J35" s="209"/>
      <c r="K35" s="209"/>
      <c r="L35" s="209"/>
      <c r="M35" s="209"/>
      <c r="N35" s="209"/>
      <c r="P35" s="72"/>
      <c r="Q35" s="72"/>
      <c r="R35" s="72"/>
      <c r="T35" s="5"/>
      <c r="U35" s="209"/>
      <c r="V35" s="209"/>
      <c r="W35" s="209"/>
      <c r="X35" s="209"/>
      <c r="Y35" s="209"/>
      <c r="Z35" s="209"/>
      <c r="AA35" s="209"/>
      <c r="AB35" s="209"/>
      <c r="AC35" s="209"/>
      <c r="AD35" s="209"/>
      <c r="AF35" s="72"/>
      <c r="AG35" s="72"/>
      <c r="AH35" s="72"/>
      <c r="AI35" s="5"/>
      <c r="AJ35" s="5"/>
      <c r="AK35" s="209"/>
      <c r="AL35" s="209"/>
      <c r="AM35" s="209"/>
      <c r="AN35" s="209"/>
      <c r="AO35" s="209"/>
      <c r="AP35" s="209"/>
      <c r="AQ35" s="209"/>
      <c r="AR35" s="209"/>
      <c r="AS35" s="209"/>
      <c r="AT35" s="209"/>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213" t="s">
        <v>27</v>
      </c>
      <c r="Q36" s="213"/>
      <c r="R36" s="213"/>
      <c r="T36" s="57"/>
      <c r="U36" s="73">
        <v>1</v>
      </c>
      <c r="V36" s="73">
        <v>1</v>
      </c>
      <c r="W36" s="73">
        <v>1</v>
      </c>
      <c r="X36" s="73"/>
      <c r="Y36" s="73"/>
      <c r="Z36" s="73">
        <v>2</v>
      </c>
      <c r="AA36" s="73"/>
      <c r="AB36" s="73"/>
      <c r="AC36" s="73"/>
      <c r="AD36" s="73"/>
      <c r="AF36" s="213" t="s">
        <v>42</v>
      </c>
      <c r="AG36" s="213"/>
      <c r="AH36" s="213"/>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209"/>
      <c r="F37" s="209"/>
      <c r="G37" s="209"/>
      <c r="H37" s="209"/>
      <c r="I37" s="209"/>
      <c r="J37" s="209"/>
      <c r="K37" s="209"/>
      <c r="L37" s="209"/>
      <c r="M37" s="209"/>
      <c r="N37" s="209"/>
      <c r="P37" s="72"/>
      <c r="Q37" s="72"/>
      <c r="R37" s="72"/>
      <c r="T37" s="5"/>
      <c r="U37" s="209"/>
      <c r="V37" s="209"/>
      <c r="W37" s="209"/>
      <c r="X37" s="209"/>
      <c r="Y37" s="209"/>
      <c r="Z37" s="209"/>
      <c r="AA37" s="209"/>
      <c r="AB37" s="209"/>
      <c r="AC37" s="209"/>
      <c r="AD37" s="209"/>
      <c r="AF37" s="72"/>
      <c r="AG37" s="72"/>
      <c r="AH37" s="72"/>
      <c r="AI37" s="5"/>
      <c r="AJ37" s="5"/>
      <c r="AK37" s="209"/>
      <c r="AL37" s="209"/>
      <c r="AM37" s="209"/>
      <c r="AN37" s="209"/>
      <c r="AO37" s="209"/>
      <c r="AP37" s="209"/>
      <c r="AQ37" s="209"/>
      <c r="AR37" s="209"/>
      <c r="AS37" s="209"/>
      <c r="AT37" s="209"/>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213" t="s">
        <v>28</v>
      </c>
      <c r="Q38" s="213"/>
      <c r="R38" s="213"/>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211"/>
      <c r="AX39" s="211"/>
      <c r="AY39" s="211"/>
      <c r="AZ39" s="211"/>
      <c r="BA39" s="211"/>
      <c r="BB39" s="211">
        <f t="shared" si="0"/>
        <v>0</v>
      </c>
      <c r="BC39" s="211"/>
      <c r="BD39" s="211"/>
      <c r="BE39" s="211"/>
      <c r="BF39" s="211"/>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210"/>
      <c r="AL40" s="210"/>
      <c r="AM40" s="210"/>
      <c r="AN40" s="210"/>
      <c r="AO40" s="210"/>
      <c r="AP40" s="210"/>
      <c r="AQ40" s="210"/>
      <c r="AR40" s="210"/>
      <c r="AS40" s="210"/>
      <c r="AT40" s="210"/>
      <c r="AU40" s="18"/>
    </row>
    <row r="41" spans="1:60" ht="3" customHeight="1" thickBot="1" x14ac:dyDescent="0.3">
      <c r="A41" s="19"/>
      <c r="B41" s="72"/>
      <c r="D41" s="5"/>
      <c r="E41" s="209"/>
      <c r="F41" s="209"/>
      <c r="G41" s="209"/>
      <c r="H41" s="209"/>
      <c r="I41" s="209"/>
      <c r="J41" s="209">
        <v>4</v>
      </c>
      <c r="K41" s="209"/>
      <c r="L41" s="209"/>
      <c r="M41" s="209"/>
      <c r="N41" s="209"/>
      <c r="P41" s="62"/>
      <c r="Q41" s="62"/>
      <c r="R41" s="62"/>
      <c r="T41" s="5"/>
      <c r="U41" s="209"/>
      <c r="V41" s="209"/>
      <c r="W41" s="209"/>
      <c r="X41" s="209"/>
      <c r="Y41" s="209"/>
      <c r="Z41" s="209"/>
      <c r="AA41" s="209"/>
      <c r="AB41" s="209"/>
      <c r="AC41" s="209"/>
      <c r="AD41" s="209"/>
      <c r="AF41" s="72"/>
      <c r="AG41" s="72"/>
      <c r="AH41" s="72"/>
      <c r="AI41" s="5"/>
      <c r="AJ41" s="5"/>
      <c r="AK41" s="209"/>
      <c r="AL41" s="209"/>
      <c r="AM41" s="209"/>
      <c r="AN41" s="209"/>
      <c r="AO41" s="209"/>
      <c r="AP41" s="209"/>
      <c r="AQ41" s="209"/>
      <c r="AR41" s="209"/>
      <c r="AS41" s="209"/>
      <c r="AT41" s="209"/>
      <c r="AU41" s="18"/>
      <c r="AW41" s="211"/>
      <c r="AX41" s="211"/>
      <c r="AY41" s="211"/>
      <c r="AZ41" s="211"/>
      <c r="BA41" s="211"/>
      <c r="BB41" s="211">
        <f t="shared" ref="BB41:BB48" si="1">$D41*J41+$T41*Z41+$AJ41*AP41</f>
        <v>0</v>
      </c>
      <c r="BC41" s="211"/>
      <c r="BD41" s="211"/>
      <c r="BE41" s="211"/>
      <c r="BF41" s="211"/>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209"/>
      <c r="F43" s="209"/>
      <c r="G43" s="209"/>
      <c r="H43" s="209"/>
      <c r="I43" s="209"/>
      <c r="J43" s="209"/>
      <c r="K43" s="209"/>
      <c r="L43" s="209"/>
      <c r="M43" s="209"/>
      <c r="N43" s="209"/>
      <c r="P43" s="72"/>
      <c r="Q43" s="72"/>
      <c r="R43" s="72"/>
      <c r="T43" s="5"/>
      <c r="U43" s="209"/>
      <c r="V43" s="209"/>
      <c r="W43" s="209"/>
      <c r="X43" s="209"/>
      <c r="Y43" s="209"/>
      <c r="Z43" s="209"/>
      <c r="AA43" s="209"/>
      <c r="AB43" s="209"/>
      <c r="AC43" s="209"/>
      <c r="AD43" s="209"/>
      <c r="AF43" s="72"/>
      <c r="AG43" s="72"/>
      <c r="AH43" s="72"/>
      <c r="AI43" s="5"/>
      <c r="AJ43" s="5"/>
      <c r="AK43" s="209"/>
      <c r="AL43" s="209"/>
      <c r="AM43" s="209"/>
      <c r="AN43" s="209"/>
      <c r="AO43" s="209"/>
      <c r="AP43" s="209"/>
      <c r="AQ43" s="209"/>
      <c r="AR43" s="209"/>
      <c r="AS43" s="209"/>
      <c r="AT43" s="209"/>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209"/>
      <c r="F45" s="209"/>
      <c r="G45" s="209"/>
      <c r="H45" s="209"/>
      <c r="I45" s="209"/>
      <c r="J45" s="209"/>
      <c r="K45" s="209"/>
      <c r="L45" s="209"/>
      <c r="M45" s="209"/>
      <c r="N45" s="209"/>
      <c r="P45" s="72"/>
      <c r="Q45" s="72"/>
      <c r="R45" s="72"/>
      <c r="T45" s="5"/>
      <c r="U45" s="209"/>
      <c r="V45" s="209"/>
      <c r="W45" s="209"/>
      <c r="X45" s="209"/>
      <c r="Y45" s="209"/>
      <c r="Z45" s="209"/>
      <c r="AA45" s="209"/>
      <c r="AB45" s="209"/>
      <c r="AC45" s="209"/>
      <c r="AD45" s="209"/>
      <c r="AF45" s="72"/>
      <c r="AG45" s="72"/>
      <c r="AH45" s="72"/>
      <c r="AI45" s="5"/>
      <c r="AJ45" s="5"/>
      <c r="AK45" s="209"/>
      <c r="AL45" s="209"/>
      <c r="AM45" s="209"/>
      <c r="AN45" s="209"/>
      <c r="AO45" s="209"/>
      <c r="AP45" s="209"/>
      <c r="AQ45" s="209"/>
      <c r="AR45" s="209"/>
      <c r="AS45" s="209"/>
      <c r="AT45" s="209"/>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209"/>
      <c r="F47" s="209"/>
      <c r="G47" s="209"/>
      <c r="H47" s="209"/>
      <c r="I47" s="209"/>
      <c r="J47" s="209"/>
      <c r="K47" s="209"/>
      <c r="L47" s="209"/>
      <c r="M47" s="209"/>
      <c r="N47" s="209"/>
      <c r="P47" s="72"/>
      <c r="Q47" s="72"/>
      <c r="R47" s="72"/>
      <c r="T47" s="5"/>
      <c r="U47" s="209"/>
      <c r="V47" s="209"/>
      <c r="W47" s="209"/>
      <c r="X47" s="209"/>
      <c r="Y47" s="209"/>
      <c r="Z47" s="209"/>
      <c r="AA47" s="209"/>
      <c r="AB47" s="209"/>
      <c r="AC47" s="209"/>
      <c r="AD47" s="209"/>
      <c r="AF47" s="72"/>
      <c r="AG47" s="72"/>
      <c r="AH47" s="72"/>
      <c r="AI47" s="5"/>
      <c r="AJ47" s="5"/>
      <c r="AK47" s="209"/>
      <c r="AL47" s="209"/>
      <c r="AM47" s="209"/>
      <c r="AN47" s="209"/>
      <c r="AO47" s="209"/>
      <c r="AP47" s="209"/>
      <c r="AQ47" s="209"/>
      <c r="AR47" s="209"/>
      <c r="AS47" s="209"/>
      <c r="AT47" s="209"/>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211"/>
      <c r="AX49" s="211"/>
      <c r="AY49" s="211"/>
      <c r="AZ49" s="211"/>
      <c r="BA49" s="211"/>
      <c r="BB49" s="211">
        <f t="shared" si="0"/>
        <v>0</v>
      </c>
      <c r="BC49" s="211"/>
      <c r="BD49" s="211"/>
      <c r="BE49" s="211"/>
      <c r="BF49" s="211"/>
    </row>
    <row r="50" spans="1:58" s="5" customFormat="1" ht="15.75" customHeigh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210"/>
      <c r="AL50" s="210"/>
      <c r="AM50" s="210"/>
      <c r="AN50" s="210"/>
      <c r="AO50" s="210"/>
      <c r="AP50" s="210"/>
      <c r="AQ50" s="210"/>
      <c r="AR50" s="210"/>
      <c r="AS50" s="210"/>
      <c r="AT50" s="210"/>
      <c r="AU50" s="18"/>
    </row>
    <row r="51" spans="1:58" s="5" customFormat="1" ht="5.0999999999999996"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customHeight="1" thickBot="1" x14ac:dyDescent="0.3">
      <c r="A52" s="19"/>
      <c r="B52" s="213"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211"/>
      <c r="AX52" s="211"/>
      <c r="AY52" s="211"/>
      <c r="AZ52" s="211"/>
      <c r="BA52" s="211"/>
      <c r="BB52" s="211"/>
      <c r="BC52" s="211"/>
      <c r="BD52" s="211"/>
      <c r="BE52" s="211"/>
      <c r="BF52" s="211"/>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211"/>
      <c r="AX53" s="211"/>
      <c r="AY53" s="211"/>
      <c r="AZ53" s="211"/>
      <c r="BA53" s="211"/>
      <c r="BB53" s="211">
        <f t="shared" ref="BB53:BB65" si="2">$D53*J53+$T53*Z53+$AJ53*AP53</f>
        <v>0</v>
      </c>
      <c r="BC53" s="211"/>
      <c r="BD53" s="211"/>
      <c r="BE53" s="211"/>
      <c r="BF53" s="211"/>
    </row>
    <row r="54" spans="1:58" ht="15.75" customHeight="1"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customHeight="1"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customHeight="1"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customHeight="1"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customHeight="1"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209"/>
      <c r="AL66" s="209"/>
      <c r="AM66" s="209"/>
      <c r="AN66" s="209"/>
      <c r="AO66" s="209"/>
      <c r="AP66" s="209"/>
      <c r="AQ66" s="209"/>
      <c r="AR66" s="209"/>
      <c r="AS66" s="209"/>
      <c r="AT66" s="209"/>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5.0999999999999996"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P42:R42"/>
    <mergeCell ref="P44:R44"/>
    <mergeCell ref="P46:R46"/>
    <mergeCell ref="P48:R48"/>
    <mergeCell ref="AF48:AH48"/>
    <mergeCell ref="AF46:AH46"/>
    <mergeCell ref="AF44:AH44"/>
    <mergeCell ref="AF42:AH42"/>
    <mergeCell ref="B64:D64"/>
    <mergeCell ref="P64:T64"/>
    <mergeCell ref="AF64:AJ64"/>
    <mergeCell ref="B66:AJ66"/>
    <mergeCell ref="B68:AJ71"/>
    <mergeCell ref="B60:D60"/>
    <mergeCell ref="P60:T60"/>
    <mergeCell ref="AF60:AJ60"/>
    <mergeCell ref="B62:D62"/>
    <mergeCell ref="P62:T62"/>
    <mergeCell ref="AF62:AJ62"/>
    <mergeCell ref="B54:D54"/>
    <mergeCell ref="P54:T54"/>
    <mergeCell ref="AF54:AJ54"/>
    <mergeCell ref="P52:R52"/>
    <mergeCell ref="AF52:AH52"/>
    <mergeCell ref="B56:D56"/>
    <mergeCell ref="P56:T56"/>
    <mergeCell ref="AF56:AJ56"/>
    <mergeCell ref="B58:D58"/>
    <mergeCell ref="P58:T58"/>
    <mergeCell ref="AF58:AJ58"/>
    <mergeCell ref="B50:AJ50"/>
    <mergeCell ref="AF14:AH14"/>
    <mergeCell ref="D2:T2"/>
    <mergeCell ref="AF2:AH2"/>
    <mergeCell ref="P4:R4"/>
    <mergeCell ref="AF4:AH4"/>
    <mergeCell ref="P6:R6"/>
    <mergeCell ref="AF6:AH6"/>
    <mergeCell ref="P12:R12"/>
    <mergeCell ref="AF12:AH12"/>
    <mergeCell ref="B8:AJ8"/>
    <mergeCell ref="P10:R10"/>
    <mergeCell ref="AF10:AH10"/>
    <mergeCell ref="AF16:AH16"/>
    <mergeCell ref="P26:R26"/>
    <mergeCell ref="B40:AJ40"/>
  </mergeCells>
  <dataValidations xWindow="767" yWindow="397"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rintOptions horizontalCentered="1" verticalCentered="1"/>
  <pageMargins left="0.70866141732283472" right="0.70866141732283472" top="0.74803149606299213" bottom="0.74803149606299213" header="0.31496062992125984" footer="0.31496062992125984"/>
  <pageSetup paperSize="9" scale="84" orientation="portrait" r:id="rId1"/>
  <headerFooter>
    <oddHeader>&amp;A</oddHeader>
    <oddFooter>&amp;CPage &amp;P&amp;R&amp;D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BQ71"/>
  <sheetViews>
    <sheetView topLeftCell="AF34" zoomScaleNormal="100" zoomScalePageLayoutView="70" workbookViewId="0">
      <selection activeCell="AG45" sqref="AG45:AP45"/>
    </sheetView>
  </sheetViews>
  <sheetFormatPr defaultColWidth="9.140625" defaultRowHeight="15" x14ac:dyDescent="0.25"/>
  <cols>
    <col min="1" max="1" width="21.85546875" hidden="1" customWidth="1"/>
    <col min="2" max="5" width="9.140625" hidden="1" customWidth="1"/>
    <col min="6" max="7" width="2.7109375" hidden="1" customWidth="1"/>
    <col min="8" max="9" width="10" hidden="1" customWidth="1"/>
    <col min="10" max="10" width="2.7109375" hidden="1" customWidth="1"/>
    <col min="11" max="12" width="10" hidden="1" customWidth="1"/>
    <col min="13" max="13" width="2.7109375" hidden="1" customWidth="1"/>
    <col min="14" max="15" width="10" hidden="1" customWidth="1"/>
    <col min="16" max="17" width="2.7109375" hidden="1" customWidth="1"/>
    <col min="18" max="18" width="2.85546875" hidden="1" customWidth="1"/>
    <col min="19" max="20" width="2.7109375" hidden="1" customWidth="1"/>
    <col min="21" max="22" width="10" hidden="1" customWidth="1"/>
    <col min="23" max="23" width="2.7109375" hidden="1" customWidth="1"/>
    <col min="24" max="25" width="10" hidden="1" customWidth="1"/>
    <col min="26" max="26" width="2.7109375" hidden="1" customWidth="1"/>
    <col min="27" max="28" width="10" hidden="1" customWidth="1"/>
    <col min="29" max="30" width="2.7109375" hidden="1" customWidth="1"/>
    <col min="31" max="31" width="2.85546875" hidden="1" customWidth="1"/>
    <col min="32" max="33" width="2.7109375" customWidth="1"/>
    <col min="34" max="35" width="10" customWidth="1"/>
    <col min="36" max="36" width="2.7109375" customWidth="1"/>
    <col min="37" max="38" width="10" customWidth="1"/>
    <col min="39" max="39" width="2.7109375" customWidth="1"/>
    <col min="40" max="41" width="10" customWidth="1"/>
    <col min="42" max="43" width="2.7109375" customWidth="1"/>
    <col min="44" max="44" width="2.85546875" hidden="1" customWidth="1"/>
    <col min="45" max="46" width="2.7109375" hidden="1" customWidth="1"/>
    <col min="47" max="48" width="10" hidden="1" customWidth="1"/>
    <col min="49" max="49" width="2.7109375" hidden="1" customWidth="1"/>
    <col min="50" max="51" width="10" hidden="1" customWidth="1"/>
    <col min="52" max="52" width="2.7109375" hidden="1" customWidth="1"/>
    <col min="53" max="54" width="10" hidden="1" customWidth="1"/>
    <col min="55" max="56" width="2.7109375" hidden="1" customWidth="1"/>
    <col min="57" max="57" width="2.85546875" hidden="1" customWidth="1"/>
    <col min="58" max="59" width="2.7109375" hidden="1" customWidth="1"/>
    <col min="60" max="61" width="10" hidden="1" customWidth="1"/>
    <col min="62" max="62" width="2.7109375" hidden="1" customWidth="1"/>
    <col min="63" max="64" width="10" hidden="1" customWidth="1"/>
    <col min="65" max="65" width="2.7109375" hidden="1" customWidth="1"/>
    <col min="66" max="67" width="10" hidden="1" customWidth="1"/>
    <col min="68" max="69" width="2.7109375" hidden="1" customWidth="1"/>
  </cols>
  <sheetData>
    <row r="1" spans="1:69" hidden="1" x14ac:dyDescent="0.25"/>
    <row r="2" spans="1:69" hidden="1" x14ac:dyDescent="0.25"/>
    <row r="3" spans="1:69" hidden="1" x14ac:dyDescent="0.25"/>
    <row r="4" spans="1:69" hidden="1" x14ac:dyDescent="0.25"/>
    <row r="5" spans="1:69" hidden="1" x14ac:dyDescent="0.25"/>
    <row r="6" spans="1:69" hidden="1" x14ac:dyDescent="0.25"/>
    <row r="7" spans="1:69" hidden="1" x14ac:dyDescent="0.25"/>
    <row r="8" spans="1:69" ht="15.75" hidden="1" thickBot="1" x14ac:dyDescent="0.3">
      <c r="A8" s="9" t="s">
        <v>1249</v>
      </c>
      <c r="B8" s="51" t="s">
        <v>10</v>
      </c>
      <c r="C8" s="51" t="s">
        <v>1252</v>
      </c>
      <c r="G8" s="448" t="s">
        <v>1251</v>
      </c>
      <c r="H8" s="448"/>
      <c r="I8" s="448"/>
      <c r="J8" s="448"/>
      <c r="K8" s="448"/>
      <c r="L8" s="448"/>
      <c r="M8" s="448"/>
      <c r="N8" s="448"/>
      <c r="O8" s="448"/>
      <c r="P8" s="448"/>
      <c r="T8" s="448" t="s">
        <v>1251</v>
      </c>
      <c r="U8" s="448"/>
      <c r="V8" s="448"/>
      <c r="W8" s="448"/>
      <c r="X8" s="448"/>
      <c r="Y8" s="448"/>
      <c r="Z8" s="448"/>
      <c r="AA8" s="448"/>
      <c r="AB8" s="448"/>
      <c r="AC8" s="448"/>
      <c r="AG8" s="448" t="s">
        <v>1251</v>
      </c>
      <c r="AH8" s="448"/>
      <c r="AI8" s="448"/>
      <c r="AJ8" s="448"/>
      <c r="AK8" s="448"/>
      <c r="AL8" s="448"/>
      <c r="AM8" s="448"/>
      <c r="AN8" s="448"/>
      <c r="AO8" s="448"/>
      <c r="AP8" s="448"/>
      <c r="AT8" s="448" t="s">
        <v>1251</v>
      </c>
      <c r="AU8" s="448"/>
      <c r="AV8" s="448"/>
      <c r="AW8" s="448"/>
      <c r="AX8" s="448"/>
      <c r="AY8" s="448"/>
      <c r="AZ8" s="448"/>
      <c r="BA8" s="448"/>
      <c r="BB8" s="448"/>
      <c r="BC8" s="448"/>
      <c r="BG8" s="448" t="s">
        <v>1251</v>
      </c>
      <c r="BH8" s="448"/>
      <c r="BI8" s="448"/>
      <c r="BJ8" s="448"/>
      <c r="BK8" s="448"/>
      <c r="BL8" s="448"/>
      <c r="BM8" s="448"/>
      <c r="BN8" s="448"/>
      <c r="BO8" s="448"/>
      <c r="BP8" s="448"/>
    </row>
    <row r="9" spans="1:69" ht="15" hidden="1" customHeight="1" x14ac:dyDescent="0.25">
      <c r="A9" t="s">
        <v>0</v>
      </c>
      <c r="B9" t="s">
        <v>10</v>
      </c>
      <c r="C9" t="s">
        <v>1251</v>
      </c>
      <c r="F9" s="449" t="s">
        <v>1251</v>
      </c>
      <c r="G9" s="263"/>
      <c r="H9" s="451"/>
      <c r="I9" s="451"/>
      <c r="J9" s="451"/>
      <c r="K9" s="451"/>
      <c r="L9" s="451"/>
      <c r="M9" s="451"/>
      <c r="N9" s="451"/>
      <c r="O9" s="451"/>
      <c r="P9" s="263"/>
      <c r="Q9" s="450" t="s">
        <v>1251</v>
      </c>
      <c r="S9" s="449" t="s">
        <v>1251</v>
      </c>
      <c r="T9" s="263"/>
      <c r="U9" s="451"/>
      <c r="V9" s="451"/>
      <c r="W9" s="451"/>
      <c r="X9" s="451"/>
      <c r="Y9" s="451"/>
      <c r="Z9" s="451"/>
      <c r="AA9" s="451"/>
      <c r="AB9" s="451"/>
      <c r="AC9" s="263"/>
      <c r="AD9" s="450" t="s">
        <v>1251</v>
      </c>
      <c r="AF9" s="449" t="s">
        <v>1251</v>
      </c>
      <c r="AG9" s="263"/>
      <c r="AH9" s="451"/>
      <c r="AI9" s="451"/>
      <c r="AJ9" s="451"/>
      <c r="AK9" s="451"/>
      <c r="AL9" s="451"/>
      <c r="AM9" s="451"/>
      <c r="AN9" s="451"/>
      <c r="AO9" s="451"/>
      <c r="AP9" s="263"/>
      <c r="AQ9" s="450" t="s">
        <v>1251</v>
      </c>
      <c r="AS9" s="449" t="s">
        <v>1251</v>
      </c>
      <c r="AT9" s="263"/>
      <c r="AU9" s="451"/>
      <c r="AV9" s="451"/>
      <c r="AW9" s="451"/>
      <c r="AX9" s="451"/>
      <c r="AY9" s="451"/>
      <c r="AZ9" s="451"/>
      <c r="BA9" s="451"/>
      <c r="BB9" s="451"/>
      <c r="BC9" s="263"/>
      <c r="BD9" s="450" t="s">
        <v>1251</v>
      </c>
      <c r="BF9" s="449" t="s">
        <v>1251</v>
      </c>
      <c r="BG9" s="263"/>
      <c r="BH9" s="451"/>
      <c r="BI9" s="451"/>
      <c r="BJ9" s="451"/>
      <c r="BK9" s="451"/>
      <c r="BL9" s="451"/>
      <c r="BM9" s="451"/>
      <c r="BN9" s="451"/>
      <c r="BO9" s="451"/>
      <c r="BP9" s="263"/>
      <c r="BQ9" s="450" t="s">
        <v>1251</v>
      </c>
    </row>
    <row r="10" spans="1:69" ht="56.85" hidden="1" customHeight="1" x14ac:dyDescent="0.25">
      <c r="A10" t="s">
        <v>1</v>
      </c>
      <c r="C10" t="s">
        <v>1250</v>
      </c>
      <c r="D10" s="264"/>
      <c r="F10" s="449"/>
      <c r="G10" s="452"/>
      <c r="H10" s="265"/>
      <c r="I10" s="266"/>
      <c r="J10" s="263"/>
      <c r="K10" s="265"/>
      <c r="L10" s="266"/>
      <c r="M10" s="263"/>
      <c r="N10" s="265"/>
      <c r="O10" s="266"/>
      <c r="P10" s="453"/>
      <c r="Q10" s="450"/>
      <c r="S10" s="449"/>
      <c r="T10" s="452"/>
      <c r="U10" s="265"/>
      <c r="V10" s="266"/>
      <c r="W10" s="269"/>
      <c r="X10" s="265"/>
      <c r="Y10" s="266"/>
      <c r="Z10" s="269"/>
      <c r="AA10" s="265"/>
      <c r="AB10" s="266"/>
      <c r="AC10" s="453"/>
      <c r="AD10" s="450"/>
      <c r="AF10" s="449"/>
      <c r="AG10" s="452"/>
      <c r="AH10" s="265"/>
      <c r="AI10" s="266"/>
      <c r="AJ10" s="269"/>
      <c r="AK10" s="265"/>
      <c r="AL10" s="266"/>
      <c r="AM10" s="269"/>
      <c r="AN10" s="265"/>
      <c r="AO10" s="266"/>
      <c r="AP10" s="453"/>
      <c r="AQ10" s="450"/>
      <c r="AS10" s="449"/>
      <c r="AT10" s="452"/>
      <c r="AU10" s="265"/>
      <c r="AV10" s="266"/>
      <c r="AW10" s="269"/>
      <c r="AX10" s="265"/>
      <c r="AY10" s="266"/>
      <c r="AZ10" s="269"/>
      <c r="BA10" s="265"/>
      <c r="BB10" s="266"/>
      <c r="BC10" s="453"/>
      <c r="BD10" s="450"/>
      <c r="BF10" s="449"/>
      <c r="BG10" s="452"/>
      <c r="BH10" s="265"/>
      <c r="BI10" s="266"/>
      <c r="BJ10" s="269"/>
      <c r="BK10" s="265"/>
      <c r="BL10" s="266"/>
      <c r="BM10" s="269"/>
      <c r="BN10" s="265"/>
      <c r="BO10" s="266"/>
      <c r="BP10" s="453"/>
      <c r="BQ10" s="450"/>
    </row>
    <row r="11" spans="1:69" ht="56.85" hidden="1" customHeight="1" x14ac:dyDescent="0.25">
      <c r="A11" t="s">
        <v>368</v>
      </c>
      <c r="F11" s="449"/>
      <c r="G11" s="452"/>
      <c r="H11" s="267"/>
      <c r="I11" s="268"/>
      <c r="J11" s="263"/>
      <c r="K11" s="267"/>
      <c r="L11" s="268"/>
      <c r="M11" s="263"/>
      <c r="N11" s="267"/>
      <c r="O11" s="268"/>
      <c r="P11" s="453"/>
      <c r="Q11" s="450"/>
      <c r="S11" s="449"/>
      <c r="T11" s="452"/>
      <c r="U11" s="267"/>
      <c r="V11" s="268"/>
      <c r="W11" s="269"/>
      <c r="X11" s="267"/>
      <c r="Y11" s="268"/>
      <c r="Z11" s="269"/>
      <c r="AA11" s="267"/>
      <c r="AB11" s="268"/>
      <c r="AC11" s="453"/>
      <c r="AD11" s="450"/>
      <c r="AF11" s="449"/>
      <c r="AG11" s="452"/>
      <c r="AH11" s="267"/>
      <c r="AI11" s="268"/>
      <c r="AJ11" s="269"/>
      <c r="AK11" s="267"/>
      <c r="AL11" s="268"/>
      <c r="AM11" s="269"/>
      <c r="AN11" s="267"/>
      <c r="AO11" s="268"/>
      <c r="AP11" s="453"/>
      <c r="AQ11" s="450"/>
      <c r="AS11" s="449"/>
      <c r="AT11" s="452"/>
      <c r="AU11" s="267"/>
      <c r="AV11" s="268"/>
      <c r="AW11" s="269"/>
      <c r="AX11" s="267"/>
      <c r="AY11" s="268"/>
      <c r="AZ11" s="269"/>
      <c r="BA11" s="267"/>
      <c r="BB11" s="268"/>
      <c r="BC11" s="453"/>
      <c r="BD11" s="450"/>
      <c r="BF11" s="449"/>
      <c r="BG11" s="452"/>
      <c r="BH11" s="267"/>
      <c r="BI11" s="268"/>
      <c r="BJ11" s="269"/>
      <c r="BK11" s="267"/>
      <c r="BL11" s="268"/>
      <c r="BM11" s="269"/>
      <c r="BN11" s="267"/>
      <c r="BO11" s="268"/>
      <c r="BP11" s="453"/>
      <c r="BQ11" s="450"/>
    </row>
    <row r="12" spans="1:69" ht="9.9499999999999993" hidden="1" customHeight="1" x14ac:dyDescent="0.25">
      <c r="A12" t="s">
        <v>2</v>
      </c>
      <c r="F12" s="449"/>
      <c r="G12" s="452"/>
      <c r="H12" s="263"/>
      <c r="I12" s="263"/>
      <c r="J12" s="263"/>
      <c r="K12" s="263"/>
      <c r="L12" s="263"/>
      <c r="M12" s="263"/>
      <c r="N12" s="263"/>
      <c r="O12" s="263"/>
      <c r="P12" s="453"/>
      <c r="Q12" s="450"/>
      <c r="S12" s="449"/>
      <c r="T12" s="452"/>
      <c r="U12" s="269"/>
      <c r="V12" s="269"/>
      <c r="W12" s="269"/>
      <c r="X12" s="269"/>
      <c r="Y12" s="269"/>
      <c r="Z12" s="269"/>
      <c r="AA12" s="269"/>
      <c r="AB12" s="269"/>
      <c r="AC12" s="453"/>
      <c r="AD12" s="450"/>
      <c r="AF12" s="449"/>
      <c r="AG12" s="452"/>
      <c r="AH12" s="269"/>
      <c r="AI12" s="269"/>
      <c r="AJ12" s="269"/>
      <c r="AK12" s="269"/>
      <c r="AL12" s="269"/>
      <c r="AM12" s="269"/>
      <c r="AN12" s="269"/>
      <c r="AO12" s="269"/>
      <c r="AP12" s="453"/>
      <c r="AQ12" s="450"/>
      <c r="AS12" s="449"/>
      <c r="AT12" s="452"/>
      <c r="AU12" s="269"/>
      <c r="AV12" s="269"/>
      <c r="AW12" s="269"/>
      <c r="AX12" s="269"/>
      <c r="AY12" s="269"/>
      <c r="AZ12" s="269"/>
      <c r="BA12" s="269"/>
      <c r="BB12" s="269"/>
      <c r="BC12" s="453"/>
      <c r="BD12" s="450"/>
      <c r="BF12" s="449"/>
      <c r="BG12" s="452"/>
      <c r="BH12" s="269"/>
      <c r="BI12" s="269"/>
      <c r="BJ12" s="269"/>
      <c r="BK12" s="269"/>
      <c r="BL12" s="269"/>
      <c r="BM12" s="269"/>
      <c r="BN12" s="269"/>
      <c r="BO12" s="269"/>
      <c r="BP12" s="453"/>
      <c r="BQ12" s="450"/>
    </row>
    <row r="13" spans="1:69" ht="56.85" hidden="1" customHeight="1" x14ac:dyDescent="0.25">
      <c r="A13" t="s">
        <v>2</v>
      </c>
      <c r="F13" s="449"/>
      <c r="G13" s="452"/>
      <c r="H13" s="265"/>
      <c r="I13" s="266"/>
      <c r="J13" s="263"/>
      <c r="K13" s="265"/>
      <c r="L13" s="266"/>
      <c r="M13" s="263"/>
      <c r="N13" s="265"/>
      <c r="O13" s="266"/>
      <c r="P13" s="453"/>
      <c r="Q13" s="450"/>
      <c r="S13" s="449"/>
      <c r="T13" s="452"/>
      <c r="U13" s="265"/>
      <c r="V13" s="266"/>
      <c r="W13" s="269"/>
      <c r="X13" s="265"/>
      <c r="Y13" s="266"/>
      <c r="Z13" s="269"/>
      <c r="AA13" s="265"/>
      <c r="AB13" s="266"/>
      <c r="AC13" s="453"/>
      <c r="AD13" s="450"/>
      <c r="AF13" s="449"/>
      <c r="AG13" s="452"/>
      <c r="AH13" s="265"/>
      <c r="AI13" s="266"/>
      <c r="AJ13" s="269"/>
      <c r="AK13" s="265"/>
      <c r="AL13" s="266"/>
      <c r="AM13" s="269"/>
      <c r="AN13" s="265"/>
      <c r="AO13" s="266"/>
      <c r="AP13" s="453"/>
      <c r="AQ13" s="450"/>
      <c r="AS13" s="449"/>
      <c r="AT13" s="452"/>
      <c r="AU13" s="265"/>
      <c r="AV13" s="266"/>
      <c r="AW13" s="269"/>
      <c r="AX13" s="265"/>
      <c r="AY13" s="266"/>
      <c r="AZ13" s="269"/>
      <c r="BA13" s="265"/>
      <c r="BB13" s="266"/>
      <c r="BC13" s="453"/>
      <c r="BD13" s="450"/>
      <c r="BF13" s="449"/>
      <c r="BG13" s="452"/>
      <c r="BH13" s="265"/>
      <c r="BI13" s="266"/>
      <c r="BJ13" s="269"/>
      <c r="BK13" s="265"/>
      <c r="BL13" s="266"/>
      <c r="BM13" s="269"/>
      <c r="BN13" s="265"/>
      <c r="BO13" s="266"/>
      <c r="BP13" s="453"/>
      <c r="BQ13" s="450"/>
    </row>
    <row r="14" spans="1:69" ht="56.85" hidden="1" customHeight="1" x14ac:dyDescent="0.25">
      <c r="A14" t="s">
        <v>369</v>
      </c>
      <c r="F14" s="449"/>
      <c r="G14" s="452"/>
      <c r="H14" s="267"/>
      <c r="I14" s="268"/>
      <c r="J14" s="263"/>
      <c r="K14" s="267"/>
      <c r="L14" s="268"/>
      <c r="M14" s="263"/>
      <c r="N14" s="267"/>
      <c r="O14" s="268"/>
      <c r="P14" s="453"/>
      <c r="Q14" s="450"/>
      <c r="S14" s="449"/>
      <c r="T14" s="452"/>
      <c r="U14" s="267"/>
      <c r="V14" s="268"/>
      <c r="W14" s="269"/>
      <c r="X14" s="267"/>
      <c r="Y14" s="268"/>
      <c r="Z14" s="269"/>
      <c r="AA14" s="267"/>
      <c r="AB14" s="268"/>
      <c r="AC14" s="453"/>
      <c r="AD14" s="450"/>
      <c r="AF14" s="449"/>
      <c r="AG14" s="452"/>
      <c r="AH14" s="267"/>
      <c r="AI14" s="268"/>
      <c r="AJ14" s="269"/>
      <c r="AK14" s="267"/>
      <c r="AL14" s="268"/>
      <c r="AM14" s="269"/>
      <c r="AN14" s="267"/>
      <c r="AO14" s="268"/>
      <c r="AP14" s="453"/>
      <c r="AQ14" s="450"/>
      <c r="AS14" s="449"/>
      <c r="AT14" s="452"/>
      <c r="AU14" s="267"/>
      <c r="AV14" s="268"/>
      <c r="AW14" s="269"/>
      <c r="AX14" s="267"/>
      <c r="AY14" s="268"/>
      <c r="AZ14" s="269"/>
      <c r="BA14" s="267"/>
      <c r="BB14" s="268"/>
      <c r="BC14" s="453"/>
      <c r="BD14" s="450"/>
      <c r="BF14" s="449"/>
      <c r="BG14" s="452"/>
      <c r="BH14" s="267"/>
      <c r="BI14" s="268"/>
      <c r="BJ14" s="269"/>
      <c r="BK14" s="267"/>
      <c r="BL14" s="268"/>
      <c r="BM14" s="269"/>
      <c r="BN14" s="267"/>
      <c r="BO14" s="268"/>
      <c r="BP14" s="453"/>
      <c r="BQ14" s="450"/>
    </row>
    <row r="15" spans="1:69" ht="9.9499999999999993" hidden="1" customHeight="1" x14ac:dyDescent="0.25">
      <c r="A15" t="s">
        <v>370</v>
      </c>
      <c r="F15" s="449"/>
      <c r="G15" s="452"/>
      <c r="H15" s="263"/>
      <c r="I15" s="263"/>
      <c r="J15" s="263"/>
      <c r="K15" s="263"/>
      <c r="L15" s="263"/>
      <c r="M15" s="263"/>
      <c r="N15" s="263"/>
      <c r="O15" s="263"/>
      <c r="P15" s="453"/>
      <c r="Q15" s="450"/>
      <c r="S15" s="449"/>
      <c r="T15" s="452"/>
      <c r="U15" s="269"/>
      <c r="V15" s="269"/>
      <c r="W15" s="269"/>
      <c r="X15" s="269"/>
      <c r="Y15" s="269"/>
      <c r="Z15" s="269"/>
      <c r="AA15" s="269"/>
      <c r="AB15" s="269"/>
      <c r="AC15" s="453"/>
      <c r="AD15" s="450"/>
      <c r="AF15" s="449"/>
      <c r="AG15" s="452"/>
      <c r="AH15" s="269"/>
      <c r="AI15" s="269"/>
      <c r="AJ15" s="269"/>
      <c r="AK15" s="269"/>
      <c r="AL15" s="269"/>
      <c r="AM15" s="269"/>
      <c r="AN15" s="269"/>
      <c r="AO15" s="269"/>
      <c r="AP15" s="453"/>
      <c r="AQ15" s="450"/>
      <c r="AS15" s="449"/>
      <c r="AT15" s="452"/>
      <c r="AU15" s="269"/>
      <c r="AV15" s="269"/>
      <c r="AW15" s="269"/>
      <c r="AX15" s="269"/>
      <c r="AY15" s="269"/>
      <c r="AZ15" s="269"/>
      <c r="BA15" s="269"/>
      <c r="BB15" s="269"/>
      <c r="BC15" s="453"/>
      <c r="BD15" s="450"/>
      <c r="BF15" s="449"/>
      <c r="BG15" s="452"/>
      <c r="BH15" s="269"/>
      <c r="BI15" s="269"/>
      <c r="BJ15" s="269"/>
      <c r="BK15" s="269"/>
      <c r="BL15" s="269"/>
      <c r="BM15" s="269"/>
      <c r="BN15" s="269"/>
      <c r="BO15" s="269"/>
      <c r="BP15" s="453"/>
      <c r="BQ15" s="450"/>
    </row>
    <row r="16" spans="1:69" ht="56.85" hidden="1" customHeight="1" x14ac:dyDescent="0.25">
      <c r="A16" t="s">
        <v>3</v>
      </c>
      <c r="F16" s="449"/>
      <c r="G16" s="452"/>
      <c r="H16" s="265"/>
      <c r="I16" s="266"/>
      <c r="J16" s="263"/>
      <c r="K16" s="265"/>
      <c r="L16" s="266"/>
      <c r="M16" s="263"/>
      <c r="N16" s="265"/>
      <c r="O16" s="266"/>
      <c r="P16" s="453"/>
      <c r="Q16" s="450"/>
      <c r="S16" s="449"/>
      <c r="T16" s="452"/>
      <c r="U16" s="265"/>
      <c r="V16" s="266"/>
      <c r="W16" s="269"/>
      <c r="X16" s="265"/>
      <c r="Y16" s="266"/>
      <c r="Z16" s="269"/>
      <c r="AA16" s="265"/>
      <c r="AB16" s="266"/>
      <c r="AC16" s="453"/>
      <c r="AD16" s="450"/>
      <c r="AF16" s="449"/>
      <c r="AG16" s="452"/>
      <c r="AH16" s="265"/>
      <c r="AI16" s="266"/>
      <c r="AJ16" s="269"/>
      <c r="AK16" s="265"/>
      <c r="AL16" s="266"/>
      <c r="AM16" s="269"/>
      <c r="AN16" s="265"/>
      <c r="AO16" s="266"/>
      <c r="AP16" s="453"/>
      <c r="AQ16" s="450"/>
      <c r="AS16" s="449"/>
      <c r="AT16" s="452"/>
      <c r="AU16" s="265"/>
      <c r="AV16" s="266"/>
      <c r="AW16" s="269"/>
      <c r="AX16" s="265"/>
      <c r="AY16" s="266"/>
      <c r="AZ16" s="269"/>
      <c r="BA16" s="265"/>
      <c r="BB16" s="266"/>
      <c r="BC16" s="453"/>
      <c r="BD16" s="450"/>
      <c r="BF16" s="449"/>
      <c r="BG16" s="452"/>
      <c r="BH16" s="265"/>
      <c r="BI16" s="266"/>
      <c r="BJ16" s="269"/>
      <c r="BK16" s="265"/>
      <c r="BL16" s="266"/>
      <c r="BM16" s="269"/>
      <c r="BN16" s="265"/>
      <c r="BO16" s="266"/>
      <c r="BP16" s="453"/>
      <c r="BQ16" s="450"/>
    </row>
    <row r="17" spans="1:69" ht="56.85" hidden="1" customHeight="1" x14ac:dyDescent="0.25">
      <c r="A17" t="s">
        <v>4</v>
      </c>
      <c r="F17" s="449"/>
      <c r="G17" s="452"/>
      <c r="H17" s="267"/>
      <c r="I17" s="268"/>
      <c r="J17" s="263"/>
      <c r="K17" s="267"/>
      <c r="L17" s="268"/>
      <c r="M17" s="263"/>
      <c r="N17" s="267"/>
      <c r="O17" s="268"/>
      <c r="P17" s="453"/>
      <c r="Q17" s="450"/>
      <c r="S17" s="449"/>
      <c r="T17" s="452"/>
      <c r="U17" s="267"/>
      <c r="V17" s="268"/>
      <c r="W17" s="269"/>
      <c r="X17" s="267"/>
      <c r="Y17" s="268"/>
      <c r="Z17" s="269"/>
      <c r="AA17" s="267"/>
      <c r="AB17" s="268"/>
      <c r="AC17" s="453"/>
      <c r="AD17" s="450"/>
      <c r="AF17" s="449"/>
      <c r="AG17" s="452"/>
      <c r="AH17" s="267"/>
      <c r="AI17" s="268"/>
      <c r="AJ17" s="269"/>
      <c r="AK17" s="267"/>
      <c r="AL17" s="268"/>
      <c r="AM17" s="269"/>
      <c r="AN17" s="267"/>
      <c r="AO17" s="268"/>
      <c r="AP17" s="453"/>
      <c r="AQ17" s="450"/>
      <c r="AS17" s="449"/>
      <c r="AT17" s="452"/>
      <c r="AU17" s="267"/>
      <c r="AV17" s="268"/>
      <c r="AW17" s="269"/>
      <c r="AX17" s="267"/>
      <c r="AY17" s="268"/>
      <c r="AZ17" s="269"/>
      <c r="BA17" s="267"/>
      <c r="BB17" s="268"/>
      <c r="BC17" s="453"/>
      <c r="BD17" s="450"/>
      <c r="BF17" s="449"/>
      <c r="BG17" s="452"/>
      <c r="BH17" s="267"/>
      <c r="BI17" s="268"/>
      <c r="BJ17" s="269"/>
      <c r="BK17" s="267"/>
      <c r="BL17" s="268"/>
      <c r="BM17" s="269"/>
      <c r="BN17" s="267"/>
      <c r="BO17" s="268"/>
      <c r="BP17" s="453"/>
      <c r="BQ17" s="450"/>
    </row>
    <row r="18" spans="1:69" hidden="1" x14ac:dyDescent="0.25">
      <c r="A18" t="s">
        <v>5</v>
      </c>
      <c r="F18" s="449"/>
      <c r="G18" s="263"/>
      <c r="H18" s="451"/>
      <c r="I18" s="451"/>
      <c r="J18" s="451"/>
      <c r="K18" s="451"/>
      <c r="L18" s="451"/>
      <c r="M18" s="451"/>
      <c r="N18" s="451"/>
      <c r="O18" s="451"/>
      <c r="P18" s="263"/>
      <c r="Q18" s="450"/>
      <c r="S18" s="449"/>
      <c r="T18" s="263"/>
      <c r="U18" s="451"/>
      <c r="V18" s="451"/>
      <c r="W18" s="451"/>
      <c r="X18" s="451"/>
      <c r="Y18" s="451"/>
      <c r="Z18" s="451"/>
      <c r="AA18" s="451"/>
      <c r="AB18" s="451"/>
      <c r="AC18" s="263"/>
      <c r="AD18" s="450"/>
      <c r="AF18" s="449"/>
      <c r="AG18" s="263"/>
      <c r="AH18" s="451"/>
      <c r="AI18" s="451"/>
      <c r="AJ18" s="451"/>
      <c r="AK18" s="451"/>
      <c r="AL18" s="451"/>
      <c r="AM18" s="451"/>
      <c r="AN18" s="451"/>
      <c r="AO18" s="451"/>
      <c r="AP18" s="263"/>
      <c r="AQ18" s="450"/>
      <c r="AS18" s="449"/>
      <c r="AT18" s="263"/>
      <c r="AU18" s="451"/>
      <c r="AV18" s="451"/>
      <c r="AW18" s="451"/>
      <c r="AX18" s="451"/>
      <c r="AY18" s="451"/>
      <c r="AZ18" s="451"/>
      <c r="BA18" s="451"/>
      <c r="BB18" s="451"/>
      <c r="BC18" s="263"/>
      <c r="BD18" s="450"/>
      <c r="BF18" s="449"/>
      <c r="BG18" s="263"/>
      <c r="BH18" s="451"/>
      <c r="BI18" s="451"/>
      <c r="BJ18" s="451"/>
      <c r="BK18" s="451"/>
      <c r="BL18" s="451"/>
      <c r="BM18" s="451"/>
      <c r="BN18" s="451"/>
      <c r="BO18" s="451"/>
      <c r="BP18" s="263"/>
      <c r="BQ18" s="450"/>
    </row>
    <row r="19" spans="1:69" hidden="1" x14ac:dyDescent="0.25">
      <c r="A19" t="s">
        <v>6</v>
      </c>
      <c r="G19" s="448" t="s">
        <v>1251</v>
      </c>
      <c r="H19" s="448"/>
      <c r="I19" s="448"/>
      <c r="J19" s="448"/>
      <c r="K19" s="448"/>
      <c r="L19" s="448"/>
      <c r="M19" s="448"/>
      <c r="N19" s="448"/>
      <c r="O19" s="448"/>
      <c r="P19" s="448"/>
      <c r="T19" s="448" t="s">
        <v>1251</v>
      </c>
      <c r="U19" s="448"/>
      <c r="V19" s="448"/>
      <c r="W19" s="448"/>
      <c r="X19" s="448"/>
      <c r="Y19" s="448"/>
      <c r="Z19" s="448"/>
      <c r="AA19" s="448"/>
      <c r="AB19" s="448"/>
      <c r="AC19" s="448"/>
      <c r="AG19" s="448" t="s">
        <v>1251</v>
      </c>
      <c r="AH19" s="448"/>
      <c r="AI19" s="448"/>
      <c r="AJ19" s="448"/>
      <c r="AK19" s="448"/>
      <c r="AL19" s="448"/>
      <c r="AM19" s="448"/>
      <c r="AN19" s="448"/>
      <c r="AO19" s="448"/>
      <c r="AP19" s="448"/>
      <c r="AT19" s="448" t="s">
        <v>1251</v>
      </c>
      <c r="AU19" s="448"/>
      <c r="AV19" s="448"/>
      <c r="AW19" s="448"/>
      <c r="AX19" s="448"/>
      <c r="AY19" s="448"/>
      <c r="AZ19" s="448"/>
      <c r="BA19" s="448"/>
      <c r="BB19" s="448"/>
      <c r="BC19" s="448"/>
      <c r="BG19" s="448" t="s">
        <v>1251</v>
      </c>
      <c r="BH19" s="448"/>
      <c r="BI19" s="448"/>
      <c r="BJ19" s="448"/>
      <c r="BK19" s="448"/>
      <c r="BL19" s="448"/>
      <c r="BM19" s="448"/>
      <c r="BN19" s="448"/>
      <c r="BO19" s="448"/>
      <c r="BP19" s="448"/>
    </row>
    <row r="20" spans="1:69" hidden="1" x14ac:dyDescent="0.25">
      <c r="A20" t="s">
        <v>371</v>
      </c>
    </row>
    <row r="21" spans="1:69" hidden="1" x14ac:dyDescent="0.25">
      <c r="A21" t="s">
        <v>372</v>
      </c>
      <c r="G21" s="448" t="s">
        <v>1251</v>
      </c>
      <c r="H21" s="448"/>
      <c r="I21" s="448"/>
      <c r="J21" s="448"/>
      <c r="K21" s="448"/>
      <c r="L21" s="448"/>
      <c r="M21" s="448"/>
      <c r="N21" s="448"/>
      <c r="O21" s="448"/>
      <c r="P21" s="448"/>
      <c r="T21" s="448" t="s">
        <v>1251</v>
      </c>
      <c r="U21" s="448"/>
      <c r="V21" s="448"/>
      <c r="W21" s="448"/>
      <c r="X21" s="448"/>
      <c r="Y21" s="448"/>
      <c r="Z21" s="448"/>
      <c r="AA21" s="448"/>
      <c r="AB21" s="448"/>
      <c r="AC21" s="448"/>
      <c r="AG21" s="448" t="s">
        <v>1251</v>
      </c>
      <c r="AH21" s="448"/>
      <c r="AI21" s="448"/>
      <c r="AJ21" s="448"/>
      <c r="AK21" s="448"/>
      <c r="AL21" s="448"/>
      <c r="AM21" s="448"/>
      <c r="AN21" s="448"/>
      <c r="AO21" s="448"/>
      <c r="AP21" s="448"/>
      <c r="AT21" s="448" t="s">
        <v>1251</v>
      </c>
      <c r="AU21" s="448"/>
      <c r="AV21" s="448"/>
      <c r="AW21" s="448"/>
      <c r="AX21" s="448"/>
      <c r="AY21" s="448"/>
      <c r="AZ21" s="448"/>
      <c r="BA21" s="448"/>
      <c r="BB21" s="448"/>
      <c r="BC21" s="448"/>
      <c r="BG21" s="448" t="s">
        <v>1251</v>
      </c>
      <c r="BH21" s="448"/>
      <c r="BI21" s="448"/>
      <c r="BJ21" s="448"/>
      <c r="BK21" s="448"/>
      <c r="BL21" s="448"/>
      <c r="BM21" s="448"/>
      <c r="BN21" s="448"/>
      <c r="BO21" s="448"/>
      <c r="BP21" s="448"/>
    </row>
    <row r="22" spans="1:69" hidden="1" x14ac:dyDescent="0.25">
      <c r="A22" t="s">
        <v>7</v>
      </c>
      <c r="F22" s="449" t="s">
        <v>1251</v>
      </c>
      <c r="G22" s="263"/>
      <c r="H22" s="451"/>
      <c r="I22" s="451"/>
      <c r="J22" s="451"/>
      <c r="K22" s="451"/>
      <c r="L22" s="451"/>
      <c r="M22" s="451"/>
      <c r="N22" s="451"/>
      <c r="O22" s="451"/>
      <c r="P22" s="263"/>
      <c r="Q22" s="450" t="s">
        <v>1251</v>
      </c>
      <c r="S22" s="449" t="s">
        <v>1251</v>
      </c>
      <c r="T22" s="263"/>
      <c r="U22" s="451"/>
      <c r="V22" s="451"/>
      <c r="W22" s="451"/>
      <c r="X22" s="451"/>
      <c r="Y22" s="451"/>
      <c r="Z22" s="451"/>
      <c r="AA22" s="451"/>
      <c r="AB22" s="451"/>
      <c r="AC22" s="263"/>
      <c r="AD22" s="450" t="s">
        <v>1251</v>
      </c>
      <c r="AF22" s="449" t="s">
        <v>1251</v>
      </c>
      <c r="AG22" s="263"/>
      <c r="AH22" s="451"/>
      <c r="AI22" s="451"/>
      <c r="AJ22" s="451"/>
      <c r="AK22" s="451"/>
      <c r="AL22" s="451"/>
      <c r="AM22" s="451"/>
      <c r="AN22" s="451"/>
      <c r="AO22" s="451"/>
      <c r="AP22" s="263"/>
      <c r="AQ22" s="450" t="s">
        <v>1251</v>
      </c>
      <c r="AS22" s="449" t="s">
        <v>1251</v>
      </c>
      <c r="AT22" s="263"/>
      <c r="AU22" s="451"/>
      <c r="AV22" s="451"/>
      <c r="AW22" s="451"/>
      <c r="AX22" s="451"/>
      <c r="AY22" s="451"/>
      <c r="AZ22" s="451"/>
      <c r="BA22" s="451"/>
      <c r="BB22" s="451"/>
      <c r="BC22" s="263"/>
      <c r="BD22" s="450" t="s">
        <v>1251</v>
      </c>
      <c r="BF22" s="449" t="s">
        <v>1251</v>
      </c>
      <c r="BG22" s="263"/>
      <c r="BH22" s="451"/>
      <c r="BI22" s="451"/>
      <c r="BJ22" s="451"/>
      <c r="BK22" s="451"/>
      <c r="BL22" s="451"/>
      <c r="BM22" s="451"/>
      <c r="BN22" s="451"/>
      <c r="BO22" s="451"/>
      <c r="BP22" s="263"/>
      <c r="BQ22" s="450" t="s">
        <v>1251</v>
      </c>
    </row>
    <row r="23" spans="1:69" ht="56.85" hidden="1" customHeight="1" x14ac:dyDescent="0.25">
      <c r="A23" t="s">
        <v>8</v>
      </c>
      <c r="F23" s="449"/>
      <c r="G23" s="452"/>
      <c r="H23" s="265"/>
      <c r="I23" s="266"/>
      <c r="J23" s="269"/>
      <c r="K23" s="265"/>
      <c r="L23" s="266"/>
      <c r="M23" s="269"/>
      <c r="N23" s="265"/>
      <c r="O23" s="266"/>
      <c r="P23" s="453"/>
      <c r="Q23" s="450"/>
      <c r="S23" s="449"/>
      <c r="T23" s="452"/>
      <c r="U23" s="265"/>
      <c r="V23" s="266"/>
      <c r="W23" s="269"/>
      <c r="X23" s="265"/>
      <c r="Y23" s="266"/>
      <c r="Z23" s="269"/>
      <c r="AA23" s="265"/>
      <c r="AB23" s="266"/>
      <c r="AC23" s="453"/>
      <c r="AD23" s="450"/>
      <c r="AF23" s="449"/>
      <c r="AG23" s="452"/>
      <c r="AH23" s="265"/>
      <c r="AI23" s="266"/>
      <c r="AJ23" s="269"/>
      <c r="AK23" s="265"/>
      <c r="AL23" s="266"/>
      <c r="AM23" s="269"/>
      <c r="AN23" s="265"/>
      <c r="AO23" s="266"/>
      <c r="AP23" s="453"/>
      <c r="AQ23" s="450"/>
      <c r="AS23" s="449"/>
      <c r="AT23" s="452"/>
      <c r="AU23" s="265"/>
      <c r="AV23" s="266"/>
      <c r="AW23" s="269"/>
      <c r="AX23" s="265"/>
      <c r="AY23" s="266"/>
      <c r="AZ23" s="269"/>
      <c r="BA23" s="265"/>
      <c r="BB23" s="266"/>
      <c r="BC23" s="453"/>
      <c r="BD23" s="450"/>
      <c r="BF23" s="449"/>
      <c r="BG23" s="452"/>
      <c r="BH23" s="265"/>
      <c r="BI23" s="266"/>
      <c r="BJ23" s="269"/>
      <c r="BK23" s="265"/>
      <c r="BL23" s="266"/>
      <c r="BM23" s="269"/>
      <c r="BN23" s="265"/>
      <c r="BO23" s="266"/>
      <c r="BP23" s="453"/>
      <c r="BQ23" s="450"/>
    </row>
    <row r="24" spans="1:69" ht="56.85" hidden="1" customHeight="1" x14ac:dyDescent="0.25">
      <c r="A24" t="s">
        <v>9</v>
      </c>
      <c r="F24" s="449"/>
      <c r="G24" s="452"/>
      <c r="H24" s="267"/>
      <c r="I24" s="268"/>
      <c r="J24" s="269"/>
      <c r="K24" s="267"/>
      <c r="L24" s="268"/>
      <c r="M24" s="269"/>
      <c r="N24" s="267"/>
      <c r="O24" s="268"/>
      <c r="P24" s="453"/>
      <c r="Q24" s="450"/>
      <c r="S24" s="449"/>
      <c r="T24" s="452"/>
      <c r="U24" s="267"/>
      <c r="V24" s="268"/>
      <c r="W24" s="269"/>
      <c r="X24" s="267"/>
      <c r="Y24" s="268"/>
      <c r="Z24" s="269"/>
      <c r="AA24" s="267"/>
      <c r="AB24" s="268"/>
      <c r="AC24" s="453"/>
      <c r="AD24" s="450"/>
      <c r="AF24" s="449"/>
      <c r="AG24" s="452"/>
      <c r="AH24" s="267"/>
      <c r="AI24" s="268"/>
      <c r="AJ24" s="269"/>
      <c r="AK24" s="267"/>
      <c r="AL24" s="268"/>
      <c r="AM24" s="269"/>
      <c r="AN24" s="267"/>
      <c r="AO24" s="268"/>
      <c r="AP24" s="453"/>
      <c r="AQ24" s="450"/>
      <c r="AS24" s="449"/>
      <c r="AT24" s="452"/>
      <c r="AU24" s="267"/>
      <c r="AV24" s="268"/>
      <c r="AW24" s="269"/>
      <c r="AX24" s="267"/>
      <c r="AY24" s="268"/>
      <c r="AZ24" s="269"/>
      <c r="BA24" s="267"/>
      <c r="BB24" s="268"/>
      <c r="BC24" s="453"/>
      <c r="BD24" s="450"/>
      <c r="BF24" s="449"/>
      <c r="BG24" s="452"/>
      <c r="BH24" s="267"/>
      <c r="BI24" s="268"/>
      <c r="BJ24" s="269"/>
      <c r="BK24" s="267"/>
      <c r="BL24" s="268"/>
      <c r="BM24" s="269"/>
      <c r="BN24" s="267"/>
      <c r="BO24" s="268"/>
      <c r="BP24" s="453"/>
      <c r="BQ24" s="450"/>
    </row>
    <row r="25" spans="1:69" hidden="1" x14ac:dyDescent="0.25">
      <c r="A25" t="s">
        <v>10</v>
      </c>
      <c r="F25" s="449"/>
      <c r="G25" s="452"/>
      <c r="H25" s="269"/>
      <c r="I25" s="269"/>
      <c r="J25" s="269"/>
      <c r="K25" s="269"/>
      <c r="L25" s="269"/>
      <c r="M25" s="269"/>
      <c r="N25" s="269"/>
      <c r="O25" s="269"/>
      <c r="P25" s="453"/>
      <c r="Q25" s="450"/>
      <c r="S25" s="449"/>
      <c r="T25" s="452"/>
      <c r="U25" s="269"/>
      <c r="V25" s="269"/>
      <c r="W25" s="269"/>
      <c r="X25" s="269"/>
      <c r="Y25" s="269"/>
      <c r="Z25" s="269"/>
      <c r="AA25" s="269"/>
      <c r="AB25" s="269"/>
      <c r="AC25" s="453"/>
      <c r="AD25" s="450"/>
      <c r="AF25" s="449"/>
      <c r="AG25" s="452"/>
      <c r="AH25" s="269"/>
      <c r="AI25" s="269"/>
      <c r="AJ25" s="269"/>
      <c r="AK25" s="269"/>
      <c r="AL25" s="269"/>
      <c r="AM25" s="269"/>
      <c r="AN25" s="269"/>
      <c r="AO25" s="269"/>
      <c r="AP25" s="453"/>
      <c r="AQ25" s="450"/>
      <c r="AS25" s="449"/>
      <c r="AT25" s="452"/>
      <c r="AU25" s="269"/>
      <c r="AV25" s="269"/>
      <c r="AW25" s="269"/>
      <c r="AX25" s="269"/>
      <c r="AY25" s="269"/>
      <c r="AZ25" s="269"/>
      <c r="BA25" s="269"/>
      <c r="BB25" s="269"/>
      <c r="BC25" s="453"/>
      <c r="BD25" s="450"/>
      <c r="BF25" s="449"/>
      <c r="BG25" s="452"/>
      <c r="BH25" s="269"/>
      <c r="BI25" s="269"/>
      <c r="BJ25" s="269"/>
      <c r="BK25" s="269"/>
      <c r="BL25" s="269"/>
      <c r="BM25" s="269"/>
      <c r="BN25" s="269"/>
      <c r="BO25" s="269"/>
      <c r="BP25" s="453"/>
      <c r="BQ25" s="450"/>
    </row>
    <row r="26" spans="1:69" ht="56.85" hidden="1" customHeight="1" x14ac:dyDescent="0.25">
      <c r="A26" t="s">
        <v>11</v>
      </c>
      <c r="F26" s="449"/>
      <c r="G26" s="452"/>
      <c r="H26" s="265"/>
      <c r="I26" s="266"/>
      <c r="J26" s="269"/>
      <c r="K26" s="265"/>
      <c r="L26" s="266"/>
      <c r="M26" s="269"/>
      <c r="N26" s="265"/>
      <c r="O26" s="266"/>
      <c r="P26" s="453"/>
      <c r="Q26" s="450"/>
      <c r="S26" s="449"/>
      <c r="T26" s="452"/>
      <c r="U26" s="265"/>
      <c r="V26" s="266"/>
      <c r="W26" s="269"/>
      <c r="X26" s="265"/>
      <c r="Y26" s="266"/>
      <c r="Z26" s="269"/>
      <c r="AA26" s="265"/>
      <c r="AB26" s="266"/>
      <c r="AC26" s="453"/>
      <c r="AD26" s="450"/>
      <c r="AF26" s="449"/>
      <c r="AG26" s="452"/>
      <c r="AH26" s="265"/>
      <c r="AI26" s="266"/>
      <c r="AJ26" s="269"/>
      <c r="AK26" s="265"/>
      <c r="AL26" s="266"/>
      <c r="AM26" s="269"/>
      <c r="AN26" s="265"/>
      <c r="AO26" s="266"/>
      <c r="AP26" s="453"/>
      <c r="AQ26" s="450"/>
      <c r="AS26" s="449"/>
      <c r="AT26" s="452"/>
      <c r="AU26" s="265"/>
      <c r="AV26" s="266"/>
      <c r="AW26" s="269"/>
      <c r="AX26" s="265"/>
      <c r="AY26" s="266"/>
      <c r="AZ26" s="269"/>
      <c r="BA26" s="265"/>
      <c r="BB26" s="266"/>
      <c r="BC26" s="453"/>
      <c r="BD26" s="450"/>
      <c r="BF26" s="449"/>
      <c r="BG26" s="452"/>
      <c r="BH26" s="265"/>
      <c r="BI26" s="266"/>
      <c r="BJ26" s="269"/>
      <c r="BK26" s="265"/>
      <c r="BL26" s="266"/>
      <c r="BM26" s="269"/>
      <c r="BN26" s="265"/>
      <c r="BO26" s="266"/>
      <c r="BP26" s="453"/>
      <c r="BQ26" s="450"/>
    </row>
    <row r="27" spans="1:69" ht="56.85" hidden="1" customHeight="1" x14ac:dyDescent="0.25">
      <c r="A27" t="s">
        <v>12</v>
      </c>
      <c r="F27" s="449"/>
      <c r="G27" s="452"/>
      <c r="H27" s="267"/>
      <c r="I27" s="268"/>
      <c r="J27" s="269"/>
      <c r="K27" s="267"/>
      <c r="L27" s="268"/>
      <c r="M27" s="269"/>
      <c r="N27" s="267"/>
      <c r="O27" s="268"/>
      <c r="P27" s="453"/>
      <c r="Q27" s="450"/>
      <c r="S27" s="449"/>
      <c r="T27" s="452"/>
      <c r="U27" s="267"/>
      <c r="V27" s="268"/>
      <c r="W27" s="269"/>
      <c r="X27" s="267"/>
      <c r="Y27" s="268"/>
      <c r="Z27" s="269"/>
      <c r="AA27" s="267"/>
      <c r="AB27" s="268"/>
      <c r="AC27" s="453"/>
      <c r="AD27" s="450"/>
      <c r="AF27" s="449"/>
      <c r="AG27" s="452"/>
      <c r="AH27" s="267"/>
      <c r="AI27" s="268"/>
      <c r="AJ27" s="269"/>
      <c r="AK27" s="267"/>
      <c r="AL27" s="268"/>
      <c r="AM27" s="269"/>
      <c r="AN27" s="267"/>
      <c r="AO27" s="268"/>
      <c r="AP27" s="453"/>
      <c r="AQ27" s="450"/>
      <c r="AS27" s="449"/>
      <c r="AT27" s="452"/>
      <c r="AU27" s="267"/>
      <c r="AV27" s="268"/>
      <c r="AW27" s="269"/>
      <c r="AX27" s="267"/>
      <c r="AY27" s="268"/>
      <c r="AZ27" s="269"/>
      <c r="BA27" s="267"/>
      <c r="BB27" s="268"/>
      <c r="BC27" s="453"/>
      <c r="BD27" s="450"/>
      <c r="BF27" s="449"/>
      <c r="BG27" s="452"/>
      <c r="BH27" s="267"/>
      <c r="BI27" s="268"/>
      <c r="BJ27" s="269"/>
      <c r="BK27" s="267"/>
      <c r="BL27" s="268"/>
      <c r="BM27" s="269"/>
      <c r="BN27" s="267"/>
      <c r="BO27" s="268"/>
      <c r="BP27" s="453"/>
      <c r="BQ27" s="450"/>
    </row>
    <row r="28" spans="1:69" hidden="1" x14ac:dyDescent="0.25">
      <c r="A28" t="s">
        <v>373</v>
      </c>
      <c r="F28" s="449"/>
      <c r="G28" s="452"/>
      <c r="H28" s="269"/>
      <c r="I28" s="269"/>
      <c r="J28" s="269"/>
      <c r="K28" s="269"/>
      <c r="L28" s="269"/>
      <c r="M28" s="269"/>
      <c r="N28" s="269"/>
      <c r="O28" s="269"/>
      <c r="P28" s="453"/>
      <c r="Q28" s="450"/>
      <c r="S28" s="449"/>
      <c r="T28" s="452"/>
      <c r="U28" s="269"/>
      <c r="V28" s="269"/>
      <c r="W28" s="269"/>
      <c r="X28" s="269"/>
      <c r="Y28" s="269"/>
      <c r="Z28" s="269"/>
      <c r="AA28" s="269"/>
      <c r="AB28" s="269"/>
      <c r="AC28" s="453"/>
      <c r="AD28" s="450"/>
      <c r="AF28" s="449"/>
      <c r="AG28" s="452"/>
      <c r="AH28" s="269"/>
      <c r="AI28" s="269"/>
      <c r="AJ28" s="269"/>
      <c r="AK28" s="269"/>
      <c r="AL28" s="269"/>
      <c r="AM28" s="269"/>
      <c r="AN28" s="269"/>
      <c r="AO28" s="269"/>
      <c r="AP28" s="453"/>
      <c r="AQ28" s="450"/>
      <c r="AS28" s="449"/>
      <c r="AT28" s="452"/>
      <c r="AU28" s="269"/>
      <c r="AV28" s="269"/>
      <c r="AW28" s="269"/>
      <c r="AX28" s="269"/>
      <c r="AY28" s="269"/>
      <c r="AZ28" s="269"/>
      <c r="BA28" s="269"/>
      <c r="BB28" s="269"/>
      <c r="BC28" s="453"/>
      <c r="BD28" s="450"/>
      <c r="BF28" s="449"/>
      <c r="BG28" s="452"/>
      <c r="BH28" s="269"/>
      <c r="BI28" s="269"/>
      <c r="BJ28" s="269"/>
      <c r="BK28" s="269"/>
      <c r="BL28" s="269"/>
      <c r="BM28" s="269"/>
      <c r="BN28" s="269"/>
      <c r="BO28" s="269"/>
      <c r="BP28" s="453"/>
      <c r="BQ28" s="450"/>
    </row>
    <row r="29" spans="1:69" ht="56.85" hidden="1" customHeight="1" x14ac:dyDescent="0.25">
      <c r="A29" t="s">
        <v>13</v>
      </c>
      <c r="F29" s="449"/>
      <c r="G29" s="452"/>
      <c r="H29" s="265"/>
      <c r="I29" s="266"/>
      <c r="J29" s="269"/>
      <c r="K29" s="265"/>
      <c r="L29" s="266"/>
      <c r="M29" s="269"/>
      <c r="N29" s="265"/>
      <c r="O29" s="266"/>
      <c r="P29" s="453"/>
      <c r="Q29" s="450"/>
      <c r="S29" s="449"/>
      <c r="T29" s="452"/>
      <c r="U29" s="265"/>
      <c r="V29" s="266"/>
      <c r="W29" s="269"/>
      <c r="X29" s="265"/>
      <c r="Y29" s="266"/>
      <c r="Z29" s="269"/>
      <c r="AA29" s="265"/>
      <c r="AB29" s="266"/>
      <c r="AC29" s="453"/>
      <c r="AD29" s="450"/>
      <c r="AF29" s="449"/>
      <c r="AG29" s="452"/>
      <c r="AH29" s="265"/>
      <c r="AI29" s="266"/>
      <c r="AJ29" s="269"/>
      <c r="AK29" s="265"/>
      <c r="AL29" s="266"/>
      <c r="AM29" s="269"/>
      <c r="AN29" s="265"/>
      <c r="AO29" s="266"/>
      <c r="AP29" s="453"/>
      <c r="AQ29" s="450"/>
      <c r="AS29" s="449"/>
      <c r="AT29" s="452"/>
      <c r="AU29" s="265"/>
      <c r="AV29" s="266"/>
      <c r="AW29" s="269"/>
      <c r="AX29" s="265"/>
      <c r="AY29" s="266"/>
      <c r="AZ29" s="269"/>
      <c r="BA29" s="265"/>
      <c r="BB29" s="266"/>
      <c r="BC29" s="453"/>
      <c r="BD29" s="450"/>
      <c r="BF29" s="449"/>
      <c r="BG29" s="452"/>
      <c r="BH29" s="265"/>
      <c r="BI29" s="266"/>
      <c r="BJ29" s="269"/>
      <c r="BK29" s="265"/>
      <c r="BL29" s="266"/>
      <c r="BM29" s="269"/>
      <c r="BN29" s="265"/>
      <c r="BO29" s="266"/>
      <c r="BP29" s="453"/>
      <c r="BQ29" s="450"/>
    </row>
    <row r="30" spans="1:69" ht="56.85" hidden="1" customHeight="1" x14ac:dyDescent="0.25">
      <c r="A30" t="s">
        <v>14</v>
      </c>
      <c r="F30" s="449"/>
      <c r="G30" s="452"/>
      <c r="H30" s="267"/>
      <c r="I30" s="268"/>
      <c r="J30" s="269"/>
      <c r="K30" s="267"/>
      <c r="L30" s="268"/>
      <c r="M30" s="269"/>
      <c r="N30" s="267"/>
      <c r="O30" s="268"/>
      <c r="P30" s="453"/>
      <c r="Q30" s="450"/>
      <c r="S30" s="449"/>
      <c r="T30" s="452"/>
      <c r="U30" s="267"/>
      <c r="V30" s="268"/>
      <c r="W30" s="269"/>
      <c r="X30" s="267"/>
      <c r="Y30" s="268"/>
      <c r="Z30" s="269"/>
      <c r="AA30" s="267"/>
      <c r="AB30" s="268"/>
      <c r="AC30" s="453"/>
      <c r="AD30" s="450"/>
      <c r="AF30" s="449"/>
      <c r="AG30" s="452"/>
      <c r="AH30" s="267"/>
      <c r="AI30" s="268"/>
      <c r="AJ30" s="269"/>
      <c r="AK30" s="267"/>
      <c r="AL30" s="268"/>
      <c r="AM30" s="269"/>
      <c r="AN30" s="267"/>
      <c r="AO30" s="268"/>
      <c r="AP30" s="453"/>
      <c r="AQ30" s="450"/>
      <c r="AS30" s="449"/>
      <c r="AT30" s="452"/>
      <c r="AU30" s="267"/>
      <c r="AV30" s="268"/>
      <c r="AW30" s="269"/>
      <c r="AX30" s="267"/>
      <c r="AY30" s="268"/>
      <c r="AZ30" s="269"/>
      <c r="BA30" s="267"/>
      <c r="BB30" s="268"/>
      <c r="BC30" s="453"/>
      <c r="BD30" s="450"/>
      <c r="BF30" s="449"/>
      <c r="BG30" s="452"/>
      <c r="BH30" s="267"/>
      <c r="BI30" s="268"/>
      <c r="BJ30" s="269"/>
      <c r="BK30" s="267"/>
      <c r="BL30" s="268"/>
      <c r="BM30" s="269"/>
      <c r="BN30" s="267"/>
      <c r="BO30" s="268"/>
      <c r="BP30" s="453"/>
      <c r="BQ30" s="450"/>
    </row>
    <row r="31" spans="1:69" hidden="1" x14ac:dyDescent="0.25">
      <c r="A31" t="s">
        <v>15</v>
      </c>
      <c r="F31" s="449"/>
      <c r="G31" s="263"/>
      <c r="H31" s="451"/>
      <c r="I31" s="451"/>
      <c r="J31" s="451"/>
      <c r="K31" s="451"/>
      <c r="L31" s="451"/>
      <c r="M31" s="451"/>
      <c r="N31" s="451"/>
      <c r="O31" s="451"/>
      <c r="P31" s="263"/>
      <c r="Q31" s="450"/>
      <c r="S31" s="449"/>
      <c r="T31" s="263"/>
      <c r="U31" s="451"/>
      <c r="V31" s="451"/>
      <c r="W31" s="451"/>
      <c r="X31" s="451"/>
      <c r="Y31" s="451"/>
      <c r="Z31" s="451"/>
      <c r="AA31" s="451"/>
      <c r="AB31" s="451"/>
      <c r="AC31" s="263"/>
      <c r="AD31" s="450"/>
      <c r="AF31" s="449"/>
      <c r="AG31" s="263"/>
      <c r="AH31" s="451"/>
      <c r="AI31" s="451"/>
      <c r="AJ31" s="451"/>
      <c r="AK31" s="451"/>
      <c r="AL31" s="451"/>
      <c r="AM31" s="451"/>
      <c r="AN31" s="451"/>
      <c r="AO31" s="451"/>
      <c r="AP31" s="263"/>
      <c r="AQ31" s="450"/>
      <c r="AS31" s="449"/>
      <c r="AT31" s="263"/>
      <c r="AU31" s="451"/>
      <c r="AV31" s="451"/>
      <c r="AW31" s="451"/>
      <c r="AX31" s="451"/>
      <c r="AY31" s="451"/>
      <c r="AZ31" s="451"/>
      <c r="BA31" s="451"/>
      <c r="BB31" s="451"/>
      <c r="BC31" s="263"/>
      <c r="BD31" s="450"/>
      <c r="BF31" s="449"/>
      <c r="BG31" s="263"/>
      <c r="BH31" s="451"/>
      <c r="BI31" s="451"/>
      <c r="BJ31" s="451"/>
      <c r="BK31" s="451"/>
      <c r="BL31" s="451"/>
      <c r="BM31" s="451"/>
      <c r="BN31" s="451"/>
      <c r="BO31" s="451"/>
      <c r="BP31" s="263"/>
      <c r="BQ31" s="450"/>
    </row>
    <row r="32" spans="1:69" hidden="1" x14ac:dyDescent="0.25">
      <c r="A32" t="s">
        <v>154</v>
      </c>
      <c r="G32" s="448" t="s">
        <v>1251</v>
      </c>
      <c r="H32" s="448"/>
      <c r="I32" s="448"/>
      <c r="J32" s="448"/>
      <c r="K32" s="448"/>
      <c r="L32" s="448"/>
      <c r="M32" s="448"/>
      <c r="N32" s="448"/>
      <c r="O32" s="448"/>
      <c r="P32" s="448"/>
      <c r="T32" s="448" t="s">
        <v>1251</v>
      </c>
      <c r="U32" s="448"/>
      <c r="V32" s="448"/>
      <c r="W32" s="448"/>
      <c r="X32" s="448"/>
      <c r="Y32" s="448"/>
      <c r="Z32" s="448"/>
      <c r="AA32" s="448"/>
      <c r="AB32" s="448"/>
      <c r="AC32" s="448"/>
      <c r="AG32" s="448" t="s">
        <v>1251</v>
      </c>
      <c r="AH32" s="448"/>
      <c r="AI32" s="448"/>
      <c r="AJ32" s="448"/>
      <c r="AK32" s="448"/>
      <c r="AL32" s="448"/>
      <c r="AM32" s="448"/>
      <c r="AN32" s="448"/>
      <c r="AO32" s="448"/>
      <c r="AP32" s="448"/>
      <c r="AT32" s="448" t="s">
        <v>1251</v>
      </c>
      <c r="AU32" s="448"/>
      <c r="AV32" s="448"/>
      <c r="AW32" s="448"/>
      <c r="AX32" s="448"/>
      <c r="AY32" s="448"/>
      <c r="AZ32" s="448"/>
      <c r="BA32" s="448"/>
      <c r="BB32" s="448"/>
      <c r="BC32" s="448"/>
      <c r="BG32" s="448" t="s">
        <v>1251</v>
      </c>
      <c r="BH32" s="448"/>
      <c r="BI32" s="448"/>
      <c r="BJ32" s="448"/>
      <c r="BK32" s="448"/>
      <c r="BL32" s="448"/>
      <c r="BM32" s="448"/>
      <c r="BN32" s="448"/>
      <c r="BO32" s="448"/>
      <c r="BP32" s="448"/>
    </row>
    <row r="33" spans="1:69" hidden="1" x14ac:dyDescent="0.25">
      <c r="A33" t="s">
        <v>16</v>
      </c>
    </row>
    <row r="34" spans="1:69" x14ac:dyDescent="0.25">
      <c r="A34" t="s">
        <v>17</v>
      </c>
      <c r="G34" s="448" t="s">
        <v>1251</v>
      </c>
      <c r="H34" s="448"/>
      <c r="I34" s="448"/>
      <c r="J34" s="448"/>
      <c r="K34" s="448"/>
      <c r="L34" s="448"/>
      <c r="M34" s="448"/>
      <c r="N34" s="448"/>
      <c r="O34" s="448"/>
      <c r="P34" s="448"/>
      <c r="T34" s="448" t="s">
        <v>1251</v>
      </c>
      <c r="U34" s="448"/>
      <c r="V34" s="448"/>
      <c r="W34" s="448"/>
      <c r="X34" s="448"/>
      <c r="Y34" s="448"/>
      <c r="Z34" s="448"/>
      <c r="AA34" s="448"/>
      <c r="AB34" s="448"/>
      <c r="AC34" s="448"/>
      <c r="AG34" s="448" t="s">
        <v>1251</v>
      </c>
      <c r="AH34" s="448"/>
      <c r="AI34" s="448"/>
      <c r="AJ34" s="448"/>
      <c r="AK34" s="448"/>
      <c r="AL34" s="448"/>
      <c r="AM34" s="448"/>
      <c r="AN34" s="448"/>
      <c r="AO34" s="448"/>
      <c r="AP34" s="448"/>
      <c r="AT34" s="448" t="s">
        <v>1251</v>
      </c>
      <c r="AU34" s="448"/>
      <c r="AV34" s="448"/>
      <c r="AW34" s="448"/>
      <c r="AX34" s="448"/>
      <c r="AY34" s="448"/>
      <c r="AZ34" s="448"/>
      <c r="BA34" s="448"/>
      <c r="BB34" s="448"/>
      <c r="BC34" s="448"/>
      <c r="BG34" s="448" t="s">
        <v>1251</v>
      </c>
      <c r="BH34" s="448"/>
      <c r="BI34" s="448"/>
      <c r="BJ34" s="448"/>
      <c r="BK34" s="448"/>
      <c r="BL34" s="448"/>
      <c r="BM34" s="448"/>
      <c r="BN34" s="448"/>
      <c r="BO34" s="448"/>
      <c r="BP34" s="448"/>
    </row>
    <row r="35" spans="1:69" x14ac:dyDescent="0.25">
      <c r="A35" t="s">
        <v>18</v>
      </c>
      <c r="F35" s="449" t="s">
        <v>1251</v>
      </c>
      <c r="G35" s="263"/>
      <c r="H35" s="451"/>
      <c r="I35" s="451"/>
      <c r="J35" s="451"/>
      <c r="K35" s="451"/>
      <c r="L35" s="451"/>
      <c r="M35" s="451"/>
      <c r="N35" s="451"/>
      <c r="O35" s="451"/>
      <c r="P35" s="263"/>
      <c r="Q35" s="450" t="s">
        <v>1251</v>
      </c>
      <c r="S35" s="449" t="s">
        <v>1251</v>
      </c>
      <c r="T35" s="263"/>
      <c r="U35" s="451"/>
      <c r="V35" s="451"/>
      <c r="W35" s="451"/>
      <c r="X35" s="451"/>
      <c r="Y35" s="451"/>
      <c r="Z35" s="451"/>
      <c r="AA35" s="451"/>
      <c r="AB35" s="451"/>
      <c r="AC35" s="263"/>
      <c r="AD35" s="450" t="s">
        <v>1251</v>
      </c>
      <c r="AF35" s="449" t="s">
        <v>1251</v>
      </c>
      <c r="AG35" s="263"/>
      <c r="AH35" s="451"/>
      <c r="AI35" s="451"/>
      <c r="AJ35" s="451"/>
      <c r="AK35" s="451"/>
      <c r="AL35" s="451"/>
      <c r="AM35" s="451"/>
      <c r="AN35" s="451"/>
      <c r="AO35" s="451"/>
      <c r="AP35" s="263"/>
      <c r="AQ35" s="450" t="s">
        <v>1251</v>
      </c>
      <c r="AS35" s="449" t="s">
        <v>1251</v>
      </c>
      <c r="AT35" s="263"/>
      <c r="AU35" s="451"/>
      <c r="AV35" s="451"/>
      <c r="AW35" s="451"/>
      <c r="AX35" s="451"/>
      <c r="AY35" s="451"/>
      <c r="AZ35" s="451"/>
      <c r="BA35" s="451"/>
      <c r="BB35" s="451"/>
      <c r="BC35" s="263"/>
      <c r="BD35" s="450" t="s">
        <v>1251</v>
      </c>
      <c r="BF35" s="449" t="s">
        <v>1251</v>
      </c>
      <c r="BG35" s="263"/>
      <c r="BH35" s="451"/>
      <c r="BI35" s="451"/>
      <c r="BJ35" s="451"/>
      <c r="BK35" s="451"/>
      <c r="BL35" s="451"/>
      <c r="BM35" s="451"/>
      <c r="BN35" s="451"/>
      <c r="BO35" s="451"/>
      <c r="BP35" s="263"/>
      <c r="BQ35" s="450" t="s">
        <v>1251</v>
      </c>
    </row>
    <row r="36" spans="1:69" ht="56.85" customHeight="1" x14ac:dyDescent="0.25">
      <c r="A36" t="s">
        <v>19</v>
      </c>
      <c r="F36" s="449"/>
      <c r="G36" s="452"/>
      <c r="H36" s="265"/>
      <c r="I36" s="266"/>
      <c r="J36" s="269"/>
      <c r="K36" s="265"/>
      <c r="L36" s="266"/>
      <c r="M36" s="269"/>
      <c r="N36" s="265"/>
      <c r="O36" s="266"/>
      <c r="P36" s="453"/>
      <c r="Q36" s="450"/>
      <c r="S36" s="449"/>
      <c r="T36" s="452"/>
      <c r="U36" s="265"/>
      <c r="V36" s="266"/>
      <c r="W36" s="269"/>
      <c r="X36" s="265"/>
      <c r="Y36" s="266"/>
      <c r="Z36" s="269"/>
      <c r="AA36" s="265"/>
      <c r="AB36" s="266"/>
      <c r="AC36" s="453"/>
      <c r="AD36" s="450"/>
      <c r="AF36" s="449"/>
      <c r="AG36" s="452"/>
      <c r="AH36" s="276"/>
      <c r="AI36" s="277"/>
      <c r="AJ36" s="278"/>
      <c r="AK36" s="276"/>
      <c r="AL36" s="277"/>
      <c r="AM36" s="278"/>
      <c r="AN36" s="276"/>
      <c r="AO36" s="277"/>
      <c r="AP36" s="453"/>
      <c r="AQ36" s="450"/>
      <c r="AS36" s="449"/>
      <c r="AT36" s="452"/>
      <c r="AU36" s="265"/>
      <c r="AV36" s="266"/>
      <c r="AW36" s="269"/>
      <c r="AX36" s="265"/>
      <c r="AY36" s="266"/>
      <c r="AZ36" s="269"/>
      <c r="BA36" s="265"/>
      <c r="BB36" s="266"/>
      <c r="BC36" s="453"/>
      <c r="BD36" s="450"/>
      <c r="BF36" s="449"/>
      <c r="BG36" s="452"/>
      <c r="BH36" s="265"/>
      <c r="BI36" s="266"/>
      <c r="BJ36" s="269"/>
      <c r="BK36" s="265"/>
      <c r="BL36" s="266"/>
      <c r="BM36" s="269"/>
      <c r="BN36" s="265"/>
      <c r="BO36" s="266"/>
      <c r="BP36" s="453"/>
      <c r="BQ36" s="450"/>
    </row>
    <row r="37" spans="1:69" ht="56.85" customHeight="1" x14ac:dyDescent="0.25">
      <c r="A37" t="s">
        <v>374</v>
      </c>
      <c r="F37" s="449"/>
      <c r="G37" s="452"/>
      <c r="H37" s="267"/>
      <c r="I37" s="268"/>
      <c r="J37" s="269"/>
      <c r="K37" s="267"/>
      <c r="L37" s="268"/>
      <c r="M37" s="269"/>
      <c r="N37" s="267"/>
      <c r="O37" s="268"/>
      <c r="P37" s="453"/>
      <c r="Q37" s="450"/>
      <c r="S37" s="449"/>
      <c r="T37" s="452"/>
      <c r="U37" s="267"/>
      <c r="V37" s="268"/>
      <c r="W37" s="269"/>
      <c r="X37" s="267"/>
      <c r="Y37" s="268"/>
      <c r="Z37" s="269"/>
      <c r="AA37" s="267"/>
      <c r="AB37" s="268"/>
      <c r="AC37" s="453"/>
      <c r="AD37" s="450"/>
      <c r="AF37" s="449"/>
      <c r="AG37" s="452"/>
      <c r="AH37" s="279"/>
      <c r="AI37" s="280"/>
      <c r="AJ37" s="278"/>
      <c r="AK37" s="279"/>
      <c r="AL37" s="280"/>
      <c r="AM37" s="278"/>
      <c r="AN37" s="279"/>
      <c r="AO37" s="280"/>
      <c r="AP37" s="453"/>
      <c r="AQ37" s="450"/>
      <c r="AS37" s="449"/>
      <c r="AT37" s="452"/>
      <c r="AU37" s="267"/>
      <c r="AV37" s="268"/>
      <c r="AW37" s="269"/>
      <c r="AX37" s="267"/>
      <c r="AY37" s="268"/>
      <c r="AZ37" s="269"/>
      <c r="BA37" s="267"/>
      <c r="BB37" s="268"/>
      <c r="BC37" s="453"/>
      <c r="BD37" s="450"/>
      <c r="BF37" s="449"/>
      <c r="BG37" s="452"/>
      <c r="BH37" s="267"/>
      <c r="BI37" s="268"/>
      <c r="BJ37" s="269"/>
      <c r="BK37" s="267"/>
      <c r="BL37" s="268"/>
      <c r="BM37" s="269"/>
      <c r="BN37" s="267"/>
      <c r="BO37" s="268"/>
      <c r="BP37" s="453"/>
      <c r="BQ37" s="450"/>
    </row>
    <row r="38" spans="1:69" x14ac:dyDescent="0.25">
      <c r="A38" t="s">
        <v>20</v>
      </c>
      <c r="F38" s="449"/>
      <c r="G38" s="452"/>
      <c r="H38" s="269"/>
      <c r="I38" s="269"/>
      <c r="J38" s="269"/>
      <c r="K38" s="269"/>
      <c r="L38" s="269"/>
      <c r="M38" s="269"/>
      <c r="N38" s="269"/>
      <c r="O38" s="269"/>
      <c r="P38" s="453"/>
      <c r="Q38" s="450"/>
      <c r="S38" s="449"/>
      <c r="T38" s="452"/>
      <c r="U38" s="269"/>
      <c r="V38" s="269"/>
      <c r="W38" s="269"/>
      <c r="X38" s="269"/>
      <c r="Y38" s="269"/>
      <c r="Z38" s="269"/>
      <c r="AA38" s="269"/>
      <c r="AB38" s="269"/>
      <c r="AC38" s="453"/>
      <c r="AD38" s="450"/>
      <c r="AF38" s="449"/>
      <c r="AG38" s="452"/>
      <c r="AH38" s="278"/>
      <c r="AI38" s="278"/>
      <c r="AJ38" s="278"/>
      <c r="AK38" s="278"/>
      <c r="AL38" s="278"/>
      <c r="AM38" s="278"/>
      <c r="AN38" s="278"/>
      <c r="AO38" s="278"/>
      <c r="AP38" s="453"/>
      <c r="AQ38" s="450"/>
      <c r="AS38" s="449"/>
      <c r="AT38" s="452"/>
      <c r="AU38" s="269"/>
      <c r="AV38" s="269"/>
      <c r="AW38" s="269"/>
      <c r="AX38" s="269"/>
      <c r="AY38" s="269"/>
      <c r="AZ38" s="269"/>
      <c r="BA38" s="269"/>
      <c r="BB38" s="269"/>
      <c r="BC38" s="453"/>
      <c r="BD38" s="450"/>
      <c r="BF38" s="449"/>
      <c r="BG38" s="452"/>
      <c r="BH38" s="269"/>
      <c r="BI38" s="269"/>
      <c r="BJ38" s="269"/>
      <c r="BK38" s="269"/>
      <c r="BL38" s="269"/>
      <c r="BM38" s="269"/>
      <c r="BN38" s="269"/>
      <c r="BO38" s="269"/>
      <c r="BP38" s="453"/>
      <c r="BQ38" s="450"/>
    </row>
    <row r="39" spans="1:69" ht="56.85" customHeight="1" x14ac:dyDescent="0.25">
      <c r="A39" t="s">
        <v>21</v>
      </c>
      <c r="F39" s="449"/>
      <c r="G39" s="452"/>
      <c r="H39" s="265"/>
      <c r="I39" s="266"/>
      <c r="J39" s="269"/>
      <c r="K39" s="265"/>
      <c r="L39" s="266"/>
      <c r="M39" s="269"/>
      <c r="N39" s="265"/>
      <c r="O39" s="266"/>
      <c r="P39" s="453"/>
      <c r="Q39" s="450"/>
      <c r="S39" s="449"/>
      <c r="T39" s="452"/>
      <c r="U39" s="265"/>
      <c r="V39" s="266"/>
      <c r="W39" s="269"/>
      <c r="X39" s="265"/>
      <c r="Y39" s="266"/>
      <c r="Z39" s="269"/>
      <c r="AA39" s="265"/>
      <c r="AB39" s="266"/>
      <c r="AC39" s="453"/>
      <c r="AD39" s="450"/>
      <c r="AF39" s="449"/>
      <c r="AG39" s="452"/>
      <c r="AH39" s="276"/>
      <c r="AI39" s="277"/>
      <c r="AJ39" s="278"/>
      <c r="AK39" s="276"/>
      <c r="AL39" s="277"/>
      <c r="AM39" s="278"/>
      <c r="AN39" s="276"/>
      <c r="AO39" s="277"/>
      <c r="AP39" s="453"/>
      <c r="AQ39" s="450"/>
      <c r="AS39" s="449"/>
      <c r="AT39" s="452"/>
      <c r="AU39" s="265"/>
      <c r="AV39" s="266"/>
      <c r="AW39" s="269"/>
      <c r="AX39" s="265"/>
      <c r="AY39" s="266"/>
      <c r="AZ39" s="269"/>
      <c r="BA39" s="265"/>
      <c r="BB39" s="266"/>
      <c r="BC39" s="453"/>
      <c r="BD39" s="450"/>
      <c r="BF39" s="449"/>
      <c r="BG39" s="452"/>
      <c r="BH39" s="265"/>
      <c r="BI39" s="266"/>
      <c r="BJ39" s="269"/>
      <c r="BK39" s="265"/>
      <c r="BL39" s="266"/>
      <c r="BM39" s="269"/>
      <c r="BN39" s="265"/>
      <c r="BO39" s="266"/>
      <c r="BP39" s="453"/>
      <c r="BQ39" s="450"/>
    </row>
    <row r="40" spans="1:69" ht="56.85" customHeight="1" x14ac:dyDescent="0.25">
      <c r="A40" t="s">
        <v>22</v>
      </c>
      <c r="F40" s="449"/>
      <c r="G40" s="452"/>
      <c r="H40" s="267"/>
      <c r="I40" s="268"/>
      <c r="J40" s="269"/>
      <c r="K40" s="267"/>
      <c r="L40" s="268"/>
      <c r="M40" s="269"/>
      <c r="N40" s="267"/>
      <c r="O40" s="268"/>
      <c r="P40" s="453"/>
      <c r="Q40" s="450"/>
      <c r="S40" s="449"/>
      <c r="T40" s="452"/>
      <c r="U40" s="267"/>
      <c r="V40" s="268"/>
      <c r="W40" s="269"/>
      <c r="X40" s="267"/>
      <c r="Y40" s="268"/>
      <c r="Z40" s="269"/>
      <c r="AA40" s="267"/>
      <c r="AB40" s="268"/>
      <c r="AC40" s="453"/>
      <c r="AD40" s="450"/>
      <c r="AF40" s="449"/>
      <c r="AG40" s="452"/>
      <c r="AH40" s="279"/>
      <c r="AI40" s="280"/>
      <c r="AJ40" s="278"/>
      <c r="AK40" s="279"/>
      <c r="AL40" s="280"/>
      <c r="AM40" s="278"/>
      <c r="AN40" s="279"/>
      <c r="AO40" s="280"/>
      <c r="AP40" s="453"/>
      <c r="AQ40" s="450"/>
      <c r="AS40" s="449"/>
      <c r="AT40" s="452"/>
      <c r="AU40" s="267"/>
      <c r="AV40" s="268"/>
      <c r="AW40" s="269"/>
      <c r="AX40" s="267"/>
      <c r="AY40" s="268"/>
      <c r="AZ40" s="269"/>
      <c r="BA40" s="267"/>
      <c r="BB40" s="268"/>
      <c r="BC40" s="453"/>
      <c r="BD40" s="450"/>
      <c r="BF40" s="449"/>
      <c r="BG40" s="452"/>
      <c r="BH40" s="267"/>
      <c r="BI40" s="268"/>
      <c r="BJ40" s="269"/>
      <c r="BK40" s="267"/>
      <c r="BL40" s="268"/>
      <c r="BM40" s="269"/>
      <c r="BN40" s="267"/>
      <c r="BO40" s="268"/>
      <c r="BP40" s="453"/>
      <c r="BQ40" s="450"/>
    </row>
    <row r="41" spans="1:69" x14ac:dyDescent="0.25">
      <c r="A41" t="s">
        <v>23</v>
      </c>
      <c r="F41" s="449"/>
      <c r="G41" s="452"/>
      <c r="H41" s="269"/>
      <c r="I41" s="269"/>
      <c r="J41" s="269"/>
      <c r="K41" s="269"/>
      <c r="L41" s="269"/>
      <c r="M41" s="269"/>
      <c r="N41" s="269"/>
      <c r="O41" s="269"/>
      <c r="P41" s="453"/>
      <c r="Q41" s="450"/>
      <c r="S41" s="449"/>
      <c r="T41" s="452"/>
      <c r="U41" s="269"/>
      <c r="V41" s="269"/>
      <c r="W41" s="269"/>
      <c r="X41" s="269"/>
      <c r="Y41" s="269"/>
      <c r="Z41" s="269"/>
      <c r="AA41" s="269"/>
      <c r="AB41" s="269"/>
      <c r="AC41" s="453"/>
      <c r="AD41" s="450"/>
      <c r="AF41" s="449"/>
      <c r="AG41" s="452"/>
      <c r="AH41" s="278"/>
      <c r="AI41" s="278"/>
      <c r="AJ41" s="278"/>
      <c r="AK41" s="278"/>
      <c r="AL41" s="278"/>
      <c r="AM41" s="278"/>
      <c r="AN41" s="278"/>
      <c r="AO41" s="278"/>
      <c r="AP41" s="453"/>
      <c r="AQ41" s="450"/>
      <c r="AS41" s="449"/>
      <c r="AT41" s="452"/>
      <c r="AU41" s="269"/>
      <c r="AV41" s="269"/>
      <c r="AW41" s="269"/>
      <c r="AX41" s="269"/>
      <c r="AY41" s="269"/>
      <c r="AZ41" s="269"/>
      <c r="BA41" s="269"/>
      <c r="BB41" s="269"/>
      <c r="BC41" s="453"/>
      <c r="BD41" s="450"/>
      <c r="BF41" s="449"/>
      <c r="BG41" s="452"/>
      <c r="BH41" s="269"/>
      <c r="BI41" s="269"/>
      <c r="BJ41" s="269"/>
      <c r="BK41" s="269"/>
      <c r="BL41" s="269"/>
      <c r="BM41" s="269"/>
      <c r="BN41" s="269"/>
      <c r="BO41" s="269"/>
      <c r="BP41" s="453"/>
      <c r="BQ41" s="450"/>
    </row>
    <row r="42" spans="1:69" ht="56.85" customHeight="1" x14ac:dyDescent="0.25">
      <c r="A42" t="s">
        <v>24</v>
      </c>
      <c r="F42" s="449"/>
      <c r="G42" s="452"/>
      <c r="H42" s="265"/>
      <c r="I42" s="266"/>
      <c r="J42" s="269"/>
      <c r="K42" s="265"/>
      <c r="L42" s="266"/>
      <c r="M42" s="269"/>
      <c r="N42" s="265"/>
      <c r="O42" s="266"/>
      <c r="P42" s="453"/>
      <c r="Q42" s="450"/>
      <c r="S42" s="449"/>
      <c r="T42" s="452"/>
      <c r="U42" s="265"/>
      <c r="V42" s="266"/>
      <c r="W42" s="269"/>
      <c r="X42" s="265"/>
      <c r="Y42" s="266"/>
      <c r="Z42" s="269"/>
      <c r="AA42" s="265"/>
      <c r="AB42" s="266"/>
      <c r="AC42" s="453"/>
      <c r="AD42" s="450"/>
      <c r="AF42" s="449"/>
      <c r="AG42" s="452"/>
      <c r="AH42" s="276"/>
      <c r="AI42" s="277"/>
      <c r="AJ42" s="278"/>
      <c r="AK42" s="276"/>
      <c r="AL42" s="277"/>
      <c r="AM42" s="278"/>
      <c r="AN42" s="276"/>
      <c r="AO42" s="277"/>
      <c r="AP42" s="453"/>
      <c r="AQ42" s="450"/>
      <c r="AS42" s="449"/>
      <c r="AT42" s="452"/>
      <c r="AU42" s="265"/>
      <c r="AV42" s="266"/>
      <c r="AW42" s="269"/>
      <c r="AX42" s="265"/>
      <c r="AY42" s="266"/>
      <c r="AZ42" s="269"/>
      <c r="BA42" s="265"/>
      <c r="BB42" s="266"/>
      <c r="BC42" s="453"/>
      <c r="BD42" s="450"/>
      <c r="BF42" s="449"/>
      <c r="BG42" s="452"/>
      <c r="BH42" s="265"/>
      <c r="BI42" s="266"/>
      <c r="BJ42" s="269"/>
      <c r="BK42" s="265"/>
      <c r="BL42" s="266"/>
      <c r="BM42" s="269"/>
      <c r="BN42" s="265"/>
      <c r="BO42" s="266"/>
      <c r="BP42" s="453"/>
      <c r="BQ42" s="450"/>
    </row>
    <row r="43" spans="1:69" ht="56.85" customHeight="1" x14ac:dyDescent="0.25">
      <c r="A43" t="s">
        <v>25</v>
      </c>
      <c r="F43" s="449"/>
      <c r="G43" s="452"/>
      <c r="H43" s="267"/>
      <c r="I43" s="268"/>
      <c r="J43" s="269"/>
      <c r="K43" s="267"/>
      <c r="L43" s="268"/>
      <c r="M43" s="269"/>
      <c r="N43" s="267"/>
      <c r="O43" s="268"/>
      <c r="P43" s="453"/>
      <c r="Q43" s="450"/>
      <c r="S43" s="449"/>
      <c r="T43" s="452"/>
      <c r="U43" s="267"/>
      <c r="V43" s="268"/>
      <c r="W43" s="269"/>
      <c r="X43" s="267"/>
      <c r="Y43" s="268"/>
      <c r="Z43" s="269"/>
      <c r="AA43" s="267"/>
      <c r="AB43" s="268"/>
      <c r="AC43" s="453"/>
      <c r="AD43" s="450"/>
      <c r="AF43" s="449"/>
      <c r="AG43" s="452"/>
      <c r="AH43" s="279"/>
      <c r="AI43" s="280"/>
      <c r="AJ43" s="278"/>
      <c r="AK43" s="279"/>
      <c r="AL43" s="280"/>
      <c r="AM43" s="278"/>
      <c r="AN43" s="279"/>
      <c r="AO43" s="280"/>
      <c r="AP43" s="453"/>
      <c r="AQ43" s="450"/>
      <c r="AS43" s="449"/>
      <c r="AT43" s="452"/>
      <c r="AU43" s="267"/>
      <c r="AV43" s="268"/>
      <c r="AW43" s="269"/>
      <c r="AX43" s="267"/>
      <c r="AY43" s="268"/>
      <c r="AZ43" s="269"/>
      <c r="BA43" s="267"/>
      <c r="BB43" s="268"/>
      <c r="BC43" s="453"/>
      <c r="BD43" s="450"/>
      <c r="BF43" s="449"/>
      <c r="BG43" s="452"/>
      <c r="BH43" s="267"/>
      <c r="BI43" s="268"/>
      <c r="BJ43" s="269"/>
      <c r="BK43" s="267"/>
      <c r="BL43" s="268"/>
      <c r="BM43" s="269"/>
      <c r="BN43" s="267"/>
      <c r="BO43" s="268"/>
      <c r="BP43" s="453"/>
      <c r="BQ43" s="450"/>
    </row>
    <row r="44" spans="1:69" x14ac:dyDescent="0.25">
      <c r="A44" t="s">
        <v>375</v>
      </c>
      <c r="F44" s="449"/>
      <c r="G44" s="263"/>
      <c r="H44" s="451"/>
      <c r="I44" s="451"/>
      <c r="J44" s="451"/>
      <c r="K44" s="451"/>
      <c r="L44" s="451"/>
      <c r="M44" s="451"/>
      <c r="N44" s="451"/>
      <c r="O44" s="451"/>
      <c r="P44" s="263"/>
      <c r="Q44" s="450"/>
      <c r="S44" s="449"/>
      <c r="T44" s="263"/>
      <c r="U44" s="451"/>
      <c r="V44" s="451"/>
      <c r="W44" s="451"/>
      <c r="X44" s="451"/>
      <c r="Y44" s="451"/>
      <c r="Z44" s="451"/>
      <c r="AA44" s="451"/>
      <c r="AB44" s="451"/>
      <c r="AC44" s="263"/>
      <c r="AD44" s="450"/>
      <c r="AF44" s="449"/>
      <c r="AG44" s="263"/>
      <c r="AH44" s="451"/>
      <c r="AI44" s="451"/>
      <c r="AJ44" s="451"/>
      <c r="AK44" s="451"/>
      <c r="AL44" s="451"/>
      <c r="AM44" s="451"/>
      <c r="AN44" s="451"/>
      <c r="AO44" s="451"/>
      <c r="AP44" s="263"/>
      <c r="AQ44" s="450"/>
      <c r="AS44" s="449"/>
      <c r="AT44" s="263"/>
      <c r="AU44" s="451"/>
      <c r="AV44" s="451"/>
      <c r="AW44" s="451"/>
      <c r="AX44" s="451"/>
      <c r="AY44" s="451"/>
      <c r="AZ44" s="451"/>
      <c r="BA44" s="451"/>
      <c r="BB44" s="451"/>
      <c r="BC44" s="263"/>
      <c r="BD44" s="450"/>
      <c r="BF44" s="449"/>
      <c r="BG44" s="263"/>
      <c r="BH44" s="451"/>
      <c r="BI44" s="451"/>
      <c r="BJ44" s="451"/>
      <c r="BK44" s="451"/>
      <c r="BL44" s="451"/>
      <c r="BM44" s="451"/>
      <c r="BN44" s="451"/>
      <c r="BO44" s="451"/>
      <c r="BP44" s="263"/>
      <c r="BQ44" s="450"/>
    </row>
    <row r="45" spans="1:69" x14ac:dyDescent="0.25">
      <c r="A45" t="s">
        <v>26</v>
      </c>
      <c r="G45" s="448" t="s">
        <v>1251</v>
      </c>
      <c r="H45" s="448"/>
      <c r="I45" s="448"/>
      <c r="J45" s="448"/>
      <c r="K45" s="448"/>
      <c r="L45" s="448"/>
      <c r="M45" s="448"/>
      <c r="N45" s="448"/>
      <c r="O45" s="448"/>
      <c r="P45" s="448"/>
      <c r="T45" s="448" t="s">
        <v>1251</v>
      </c>
      <c r="U45" s="448"/>
      <c r="V45" s="448"/>
      <c r="W45" s="448"/>
      <c r="X45" s="448"/>
      <c r="Y45" s="448"/>
      <c r="Z45" s="448"/>
      <c r="AA45" s="448"/>
      <c r="AB45" s="448"/>
      <c r="AC45" s="448"/>
      <c r="AG45" s="448" t="s">
        <v>1251</v>
      </c>
      <c r="AH45" s="448"/>
      <c r="AI45" s="448"/>
      <c r="AJ45" s="448"/>
      <c r="AK45" s="448"/>
      <c r="AL45" s="448"/>
      <c r="AM45" s="448"/>
      <c r="AN45" s="448"/>
      <c r="AO45" s="448"/>
      <c r="AP45" s="448"/>
      <c r="AT45" s="448" t="s">
        <v>1251</v>
      </c>
      <c r="AU45" s="448"/>
      <c r="AV45" s="448"/>
      <c r="AW45" s="448"/>
      <c r="AX45" s="448"/>
      <c r="AY45" s="448"/>
      <c r="AZ45" s="448"/>
      <c r="BA45" s="448"/>
      <c r="BB45" s="448"/>
      <c r="BC45" s="448"/>
      <c r="BG45" s="448" t="s">
        <v>1251</v>
      </c>
      <c r="BH45" s="448"/>
      <c r="BI45" s="448"/>
      <c r="BJ45" s="448"/>
      <c r="BK45" s="448"/>
      <c r="BL45" s="448"/>
      <c r="BM45" s="448"/>
      <c r="BN45" s="448"/>
      <c r="BO45" s="448"/>
      <c r="BP45" s="448"/>
    </row>
    <row r="46" spans="1:69" hidden="1" x14ac:dyDescent="0.25">
      <c r="A46" t="s">
        <v>27</v>
      </c>
    </row>
    <row r="47" spans="1:69" hidden="1" x14ac:dyDescent="0.25">
      <c r="A47" t="s">
        <v>376</v>
      </c>
      <c r="G47" s="448" t="s">
        <v>1251</v>
      </c>
      <c r="H47" s="448"/>
      <c r="I47" s="448"/>
      <c r="J47" s="448"/>
      <c r="K47" s="448"/>
      <c r="L47" s="448"/>
      <c r="M47" s="448"/>
      <c r="N47" s="448"/>
      <c r="O47" s="448"/>
      <c r="P47" s="448"/>
      <c r="T47" s="448" t="s">
        <v>1251</v>
      </c>
      <c r="U47" s="448"/>
      <c r="V47" s="448"/>
      <c r="W47" s="448"/>
      <c r="X47" s="448"/>
      <c r="Y47" s="448"/>
      <c r="Z47" s="448"/>
      <c r="AA47" s="448"/>
      <c r="AB47" s="448"/>
      <c r="AC47" s="448"/>
      <c r="AG47" s="448" t="s">
        <v>1251</v>
      </c>
      <c r="AH47" s="448"/>
      <c r="AI47" s="448"/>
      <c r="AJ47" s="448"/>
      <c r="AK47" s="448"/>
      <c r="AL47" s="448"/>
      <c r="AM47" s="448"/>
      <c r="AN47" s="448"/>
      <c r="AO47" s="448"/>
      <c r="AP47" s="448"/>
      <c r="AT47" s="448" t="s">
        <v>1251</v>
      </c>
      <c r="AU47" s="448"/>
      <c r="AV47" s="448"/>
      <c r="AW47" s="448"/>
      <c r="AX47" s="448"/>
      <c r="AY47" s="448"/>
      <c r="AZ47" s="448"/>
      <c r="BA47" s="448"/>
      <c r="BB47" s="448"/>
      <c r="BC47" s="448"/>
      <c r="BG47" s="448" t="s">
        <v>1251</v>
      </c>
      <c r="BH47" s="448"/>
      <c r="BI47" s="448"/>
      <c r="BJ47" s="448"/>
      <c r="BK47" s="448"/>
      <c r="BL47" s="448"/>
      <c r="BM47" s="448"/>
      <c r="BN47" s="448"/>
      <c r="BO47" s="448"/>
      <c r="BP47" s="448"/>
    </row>
    <row r="48" spans="1:69" hidden="1" x14ac:dyDescent="0.25">
      <c r="A48" t="s">
        <v>28</v>
      </c>
      <c r="F48" s="449" t="s">
        <v>1251</v>
      </c>
      <c r="G48" s="263"/>
      <c r="H48" s="451"/>
      <c r="I48" s="451"/>
      <c r="J48" s="451"/>
      <c r="K48" s="451"/>
      <c r="L48" s="451"/>
      <c r="M48" s="451"/>
      <c r="N48" s="451"/>
      <c r="O48" s="451"/>
      <c r="P48" s="263"/>
      <c r="Q48" s="450" t="s">
        <v>1251</v>
      </c>
      <c r="S48" s="449" t="s">
        <v>1251</v>
      </c>
      <c r="T48" s="263"/>
      <c r="U48" s="451"/>
      <c r="V48" s="451"/>
      <c r="W48" s="451"/>
      <c r="X48" s="451"/>
      <c r="Y48" s="451"/>
      <c r="Z48" s="451"/>
      <c r="AA48" s="451"/>
      <c r="AB48" s="451"/>
      <c r="AC48" s="263"/>
      <c r="AD48" s="450" t="s">
        <v>1251</v>
      </c>
      <c r="AF48" s="449" t="s">
        <v>1251</v>
      </c>
      <c r="AG48" s="263"/>
      <c r="AH48" s="451"/>
      <c r="AI48" s="451"/>
      <c r="AJ48" s="451"/>
      <c r="AK48" s="451"/>
      <c r="AL48" s="451"/>
      <c r="AM48" s="451"/>
      <c r="AN48" s="451"/>
      <c r="AO48" s="451"/>
      <c r="AP48" s="263"/>
      <c r="AQ48" s="450" t="s">
        <v>1251</v>
      </c>
      <c r="AS48" s="449" t="s">
        <v>1251</v>
      </c>
      <c r="AT48" s="263"/>
      <c r="AU48" s="451"/>
      <c r="AV48" s="451"/>
      <c r="AW48" s="451"/>
      <c r="AX48" s="451"/>
      <c r="AY48" s="451"/>
      <c r="AZ48" s="451"/>
      <c r="BA48" s="451"/>
      <c r="BB48" s="451"/>
      <c r="BC48" s="263"/>
      <c r="BD48" s="450" t="s">
        <v>1251</v>
      </c>
      <c r="BF48" s="449" t="s">
        <v>1251</v>
      </c>
      <c r="BG48" s="263"/>
      <c r="BH48" s="451"/>
      <c r="BI48" s="451"/>
      <c r="BJ48" s="451"/>
      <c r="BK48" s="451"/>
      <c r="BL48" s="451"/>
      <c r="BM48" s="451"/>
      <c r="BN48" s="451"/>
      <c r="BO48" s="451"/>
      <c r="BP48" s="263"/>
      <c r="BQ48" s="450" t="s">
        <v>1251</v>
      </c>
    </row>
    <row r="49" spans="1:69" ht="56.85" hidden="1" customHeight="1" x14ac:dyDescent="0.25">
      <c r="A49" t="s">
        <v>1248</v>
      </c>
      <c r="F49" s="449"/>
      <c r="G49" s="452"/>
      <c r="H49" s="265"/>
      <c r="I49" s="266"/>
      <c r="J49" s="269"/>
      <c r="K49" s="265"/>
      <c r="L49" s="266"/>
      <c r="M49" s="269"/>
      <c r="N49" s="265"/>
      <c r="O49" s="266"/>
      <c r="P49" s="453"/>
      <c r="Q49" s="450"/>
      <c r="S49" s="449"/>
      <c r="T49" s="452"/>
      <c r="U49" s="265"/>
      <c r="V49" s="266"/>
      <c r="W49" s="269"/>
      <c r="X49" s="265"/>
      <c r="Y49" s="266"/>
      <c r="Z49" s="269"/>
      <c r="AA49" s="265"/>
      <c r="AB49" s="266"/>
      <c r="AC49" s="453"/>
      <c r="AD49" s="450"/>
      <c r="AF49" s="449"/>
      <c r="AG49" s="452"/>
      <c r="AH49" s="265"/>
      <c r="AI49" s="266"/>
      <c r="AJ49" s="269"/>
      <c r="AK49" s="265"/>
      <c r="AL49" s="266"/>
      <c r="AM49" s="269"/>
      <c r="AN49" s="265"/>
      <c r="AO49" s="266"/>
      <c r="AP49" s="453"/>
      <c r="AQ49" s="450"/>
      <c r="AS49" s="449"/>
      <c r="AT49" s="452"/>
      <c r="AU49" s="265"/>
      <c r="AV49" s="266"/>
      <c r="AW49" s="269"/>
      <c r="AX49" s="265"/>
      <c r="AY49" s="266"/>
      <c r="AZ49" s="269"/>
      <c r="BA49" s="265"/>
      <c r="BB49" s="266"/>
      <c r="BC49" s="453"/>
      <c r="BD49" s="450"/>
      <c r="BF49" s="449"/>
      <c r="BG49" s="452"/>
      <c r="BH49" s="265"/>
      <c r="BI49" s="266"/>
      <c r="BJ49" s="269"/>
      <c r="BK49" s="265"/>
      <c r="BL49" s="266"/>
      <c r="BM49" s="269"/>
      <c r="BN49" s="265"/>
      <c r="BO49" s="266"/>
      <c r="BP49" s="453"/>
      <c r="BQ49" s="450"/>
    </row>
    <row r="50" spans="1:69" ht="56.85" hidden="1" customHeight="1" x14ac:dyDescent="0.25">
      <c r="A50" t="s">
        <v>29</v>
      </c>
      <c r="F50" s="449"/>
      <c r="G50" s="452"/>
      <c r="H50" s="267"/>
      <c r="I50" s="268"/>
      <c r="J50" s="269"/>
      <c r="K50" s="267"/>
      <c r="L50" s="268"/>
      <c r="M50" s="269"/>
      <c r="N50" s="267"/>
      <c r="O50" s="268"/>
      <c r="P50" s="453"/>
      <c r="Q50" s="450"/>
      <c r="S50" s="449"/>
      <c r="T50" s="452"/>
      <c r="U50" s="267"/>
      <c r="V50" s="268"/>
      <c r="W50" s="269"/>
      <c r="X50" s="267"/>
      <c r="Y50" s="268"/>
      <c r="Z50" s="269"/>
      <c r="AA50" s="267"/>
      <c r="AB50" s="268"/>
      <c r="AC50" s="453"/>
      <c r="AD50" s="450"/>
      <c r="AF50" s="449"/>
      <c r="AG50" s="452"/>
      <c r="AH50" s="267"/>
      <c r="AI50" s="268"/>
      <c r="AJ50" s="269"/>
      <c r="AK50" s="267"/>
      <c r="AL50" s="268"/>
      <c r="AM50" s="269"/>
      <c r="AN50" s="267"/>
      <c r="AO50" s="268"/>
      <c r="AP50" s="453"/>
      <c r="AQ50" s="450"/>
      <c r="AS50" s="449"/>
      <c r="AT50" s="452"/>
      <c r="AU50" s="267"/>
      <c r="AV50" s="268"/>
      <c r="AW50" s="269"/>
      <c r="AX50" s="267"/>
      <c r="AY50" s="268"/>
      <c r="AZ50" s="269"/>
      <c r="BA50" s="267"/>
      <c r="BB50" s="268"/>
      <c r="BC50" s="453"/>
      <c r="BD50" s="450"/>
      <c r="BF50" s="449"/>
      <c r="BG50" s="452"/>
      <c r="BH50" s="267"/>
      <c r="BI50" s="268"/>
      <c r="BJ50" s="269"/>
      <c r="BK50" s="267"/>
      <c r="BL50" s="268"/>
      <c r="BM50" s="269"/>
      <c r="BN50" s="267"/>
      <c r="BO50" s="268"/>
      <c r="BP50" s="453"/>
      <c r="BQ50" s="450"/>
    </row>
    <row r="51" spans="1:69" hidden="1" x14ac:dyDescent="0.25">
      <c r="A51" t="s">
        <v>30</v>
      </c>
      <c r="F51" s="449"/>
      <c r="G51" s="452"/>
      <c r="H51" s="269"/>
      <c r="I51" s="269"/>
      <c r="J51" s="269"/>
      <c r="K51" s="269"/>
      <c r="L51" s="269"/>
      <c r="M51" s="269"/>
      <c r="N51" s="269"/>
      <c r="O51" s="269"/>
      <c r="P51" s="453"/>
      <c r="Q51" s="450"/>
      <c r="S51" s="449"/>
      <c r="T51" s="452"/>
      <c r="U51" s="269"/>
      <c r="V51" s="269"/>
      <c r="W51" s="269"/>
      <c r="X51" s="269"/>
      <c r="Y51" s="269"/>
      <c r="Z51" s="269"/>
      <c r="AA51" s="269"/>
      <c r="AB51" s="269"/>
      <c r="AC51" s="453"/>
      <c r="AD51" s="450"/>
      <c r="AF51" s="449"/>
      <c r="AG51" s="452"/>
      <c r="AH51" s="269"/>
      <c r="AI51" s="269"/>
      <c r="AJ51" s="269"/>
      <c r="AK51" s="269"/>
      <c r="AL51" s="269"/>
      <c r="AM51" s="269"/>
      <c r="AN51" s="269"/>
      <c r="AO51" s="269"/>
      <c r="AP51" s="453"/>
      <c r="AQ51" s="450"/>
      <c r="AS51" s="449"/>
      <c r="AT51" s="452"/>
      <c r="AU51" s="269"/>
      <c r="AV51" s="269"/>
      <c r="AW51" s="269"/>
      <c r="AX51" s="269"/>
      <c r="AY51" s="269"/>
      <c r="AZ51" s="269"/>
      <c r="BA51" s="269"/>
      <c r="BB51" s="269"/>
      <c r="BC51" s="453"/>
      <c r="BD51" s="450"/>
      <c r="BF51" s="449"/>
      <c r="BG51" s="452"/>
      <c r="BH51" s="269"/>
      <c r="BI51" s="269"/>
      <c r="BJ51" s="269"/>
      <c r="BK51" s="269"/>
      <c r="BL51" s="269"/>
      <c r="BM51" s="269"/>
      <c r="BN51" s="269"/>
      <c r="BO51" s="269"/>
      <c r="BP51" s="453"/>
      <c r="BQ51" s="450"/>
    </row>
    <row r="52" spans="1:69" ht="56.85" hidden="1" customHeight="1" x14ac:dyDescent="0.25">
      <c r="A52" t="s">
        <v>31</v>
      </c>
      <c r="F52" s="449"/>
      <c r="G52" s="452"/>
      <c r="H52" s="265"/>
      <c r="I52" s="266"/>
      <c r="J52" s="269"/>
      <c r="K52" s="265"/>
      <c r="L52" s="266"/>
      <c r="M52" s="269"/>
      <c r="N52" s="265"/>
      <c r="O52" s="266"/>
      <c r="P52" s="453"/>
      <c r="Q52" s="450"/>
      <c r="S52" s="449"/>
      <c r="T52" s="452"/>
      <c r="U52" s="265"/>
      <c r="V52" s="266"/>
      <c r="W52" s="269"/>
      <c r="X52" s="265"/>
      <c r="Y52" s="266"/>
      <c r="Z52" s="269"/>
      <c r="AA52" s="265"/>
      <c r="AB52" s="266"/>
      <c r="AC52" s="453"/>
      <c r="AD52" s="450"/>
      <c r="AF52" s="449"/>
      <c r="AG52" s="452"/>
      <c r="AH52" s="265"/>
      <c r="AI52" s="266"/>
      <c r="AJ52" s="269"/>
      <c r="AK52" s="265"/>
      <c r="AL52" s="266"/>
      <c r="AM52" s="269"/>
      <c r="AN52" s="265"/>
      <c r="AO52" s="266"/>
      <c r="AP52" s="453"/>
      <c r="AQ52" s="450"/>
      <c r="AS52" s="449"/>
      <c r="AT52" s="452"/>
      <c r="AU52" s="265"/>
      <c r="AV52" s="266"/>
      <c r="AW52" s="269"/>
      <c r="AX52" s="265"/>
      <c r="AY52" s="266"/>
      <c r="AZ52" s="269"/>
      <c r="BA52" s="265"/>
      <c r="BB52" s="266"/>
      <c r="BC52" s="453"/>
      <c r="BD52" s="450"/>
      <c r="BF52" s="449"/>
      <c r="BG52" s="452"/>
      <c r="BH52" s="265"/>
      <c r="BI52" s="266"/>
      <c r="BJ52" s="269"/>
      <c r="BK52" s="265"/>
      <c r="BL52" s="266"/>
      <c r="BM52" s="269"/>
      <c r="BN52" s="265"/>
      <c r="BO52" s="266"/>
      <c r="BP52" s="453"/>
      <c r="BQ52" s="450"/>
    </row>
    <row r="53" spans="1:69" ht="56.85" hidden="1" customHeight="1" x14ac:dyDescent="0.25">
      <c r="A53" t="s">
        <v>32</v>
      </c>
      <c r="F53" s="449"/>
      <c r="G53" s="452"/>
      <c r="H53" s="267"/>
      <c r="I53" s="268"/>
      <c r="J53" s="269"/>
      <c r="K53" s="267"/>
      <c r="L53" s="268"/>
      <c r="M53" s="269"/>
      <c r="N53" s="267"/>
      <c r="O53" s="268"/>
      <c r="P53" s="453"/>
      <c r="Q53" s="450"/>
      <c r="S53" s="449"/>
      <c r="T53" s="452"/>
      <c r="U53" s="267"/>
      <c r="V53" s="268"/>
      <c r="W53" s="269"/>
      <c r="X53" s="267"/>
      <c r="Y53" s="268"/>
      <c r="Z53" s="269"/>
      <c r="AA53" s="267"/>
      <c r="AB53" s="268"/>
      <c r="AC53" s="453"/>
      <c r="AD53" s="450"/>
      <c r="AF53" s="449"/>
      <c r="AG53" s="452"/>
      <c r="AH53" s="267"/>
      <c r="AI53" s="268"/>
      <c r="AJ53" s="269"/>
      <c r="AK53" s="267"/>
      <c r="AL53" s="268"/>
      <c r="AM53" s="269"/>
      <c r="AN53" s="267"/>
      <c r="AO53" s="268"/>
      <c r="AP53" s="453"/>
      <c r="AQ53" s="450"/>
      <c r="AS53" s="449"/>
      <c r="AT53" s="452"/>
      <c r="AU53" s="267"/>
      <c r="AV53" s="268"/>
      <c r="AW53" s="269"/>
      <c r="AX53" s="267"/>
      <c r="AY53" s="268"/>
      <c r="AZ53" s="269"/>
      <c r="BA53" s="267"/>
      <c r="BB53" s="268"/>
      <c r="BC53" s="453"/>
      <c r="BD53" s="450"/>
      <c r="BF53" s="449"/>
      <c r="BG53" s="452"/>
      <c r="BH53" s="267"/>
      <c r="BI53" s="268"/>
      <c r="BJ53" s="269"/>
      <c r="BK53" s="267"/>
      <c r="BL53" s="268"/>
      <c r="BM53" s="269"/>
      <c r="BN53" s="267"/>
      <c r="BO53" s="268"/>
      <c r="BP53" s="453"/>
      <c r="BQ53" s="450"/>
    </row>
    <row r="54" spans="1:69" hidden="1" x14ac:dyDescent="0.25">
      <c r="A54" t="s">
        <v>33</v>
      </c>
      <c r="F54" s="449"/>
      <c r="G54" s="452"/>
      <c r="H54" s="269"/>
      <c r="I54" s="269"/>
      <c r="J54" s="269"/>
      <c r="K54" s="269"/>
      <c r="L54" s="269"/>
      <c r="M54" s="269"/>
      <c r="N54" s="269"/>
      <c r="O54" s="269"/>
      <c r="P54" s="453"/>
      <c r="Q54" s="450"/>
      <c r="S54" s="449"/>
      <c r="T54" s="452"/>
      <c r="U54" s="269"/>
      <c r="V54" s="269"/>
      <c r="W54" s="269"/>
      <c r="X54" s="269"/>
      <c r="Y54" s="269"/>
      <c r="Z54" s="269"/>
      <c r="AA54" s="269"/>
      <c r="AB54" s="269"/>
      <c r="AC54" s="453"/>
      <c r="AD54" s="450"/>
      <c r="AF54" s="449"/>
      <c r="AG54" s="452"/>
      <c r="AH54" s="269"/>
      <c r="AI54" s="269"/>
      <c r="AJ54" s="269"/>
      <c r="AK54" s="269"/>
      <c r="AL54" s="269"/>
      <c r="AM54" s="269"/>
      <c r="AN54" s="269"/>
      <c r="AO54" s="269"/>
      <c r="AP54" s="453"/>
      <c r="AQ54" s="450"/>
      <c r="AS54" s="449"/>
      <c r="AT54" s="452"/>
      <c r="AU54" s="269"/>
      <c r="AV54" s="269"/>
      <c r="AW54" s="269"/>
      <c r="AX54" s="269"/>
      <c r="AY54" s="269"/>
      <c r="AZ54" s="269"/>
      <c r="BA54" s="269"/>
      <c r="BB54" s="269"/>
      <c r="BC54" s="453"/>
      <c r="BD54" s="450"/>
      <c r="BF54" s="449"/>
      <c r="BG54" s="452"/>
      <c r="BH54" s="269"/>
      <c r="BI54" s="269"/>
      <c r="BJ54" s="269"/>
      <c r="BK54" s="269"/>
      <c r="BL54" s="269"/>
      <c r="BM54" s="269"/>
      <c r="BN54" s="269"/>
      <c r="BO54" s="269"/>
      <c r="BP54" s="453"/>
      <c r="BQ54" s="450"/>
    </row>
    <row r="55" spans="1:69" ht="56.85" hidden="1" customHeight="1" x14ac:dyDescent="0.25">
      <c r="A55" t="s">
        <v>34</v>
      </c>
      <c r="F55" s="449"/>
      <c r="G55" s="452"/>
      <c r="H55" s="265"/>
      <c r="I55" s="266"/>
      <c r="J55" s="269"/>
      <c r="K55" s="265"/>
      <c r="L55" s="266"/>
      <c r="M55" s="269"/>
      <c r="N55" s="265"/>
      <c r="O55" s="266"/>
      <c r="P55" s="453"/>
      <c r="Q55" s="450"/>
      <c r="S55" s="449"/>
      <c r="T55" s="452"/>
      <c r="U55" s="265"/>
      <c r="V55" s="266"/>
      <c r="W55" s="269"/>
      <c r="X55" s="265"/>
      <c r="Y55" s="266"/>
      <c r="Z55" s="269"/>
      <c r="AA55" s="265"/>
      <c r="AB55" s="266"/>
      <c r="AC55" s="453"/>
      <c r="AD55" s="450"/>
      <c r="AF55" s="449"/>
      <c r="AG55" s="452"/>
      <c r="AH55" s="265"/>
      <c r="AI55" s="266"/>
      <c r="AJ55" s="269"/>
      <c r="AK55" s="265"/>
      <c r="AL55" s="266"/>
      <c r="AM55" s="269"/>
      <c r="AN55" s="265"/>
      <c r="AO55" s="266"/>
      <c r="AP55" s="453"/>
      <c r="AQ55" s="450"/>
      <c r="AS55" s="449"/>
      <c r="AT55" s="452"/>
      <c r="AU55" s="265"/>
      <c r="AV55" s="266"/>
      <c r="AW55" s="269"/>
      <c r="AX55" s="265"/>
      <c r="AY55" s="266"/>
      <c r="AZ55" s="269"/>
      <c r="BA55" s="265"/>
      <c r="BB55" s="266"/>
      <c r="BC55" s="453"/>
      <c r="BD55" s="450"/>
      <c r="BF55" s="449"/>
      <c r="BG55" s="452"/>
      <c r="BH55" s="265"/>
      <c r="BI55" s="266"/>
      <c r="BJ55" s="269"/>
      <c r="BK55" s="265"/>
      <c r="BL55" s="266"/>
      <c r="BM55" s="269"/>
      <c r="BN55" s="265"/>
      <c r="BO55" s="266"/>
      <c r="BP55" s="453"/>
      <c r="BQ55" s="450"/>
    </row>
    <row r="56" spans="1:69" ht="56.85" hidden="1" customHeight="1" x14ac:dyDescent="0.25">
      <c r="A56" t="s">
        <v>35</v>
      </c>
      <c r="F56" s="449"/>
      <c r="G56" s="452"/>
      <c r="H56" s="267"/>
      <c r="I56" s="268"/>
      <c r="J56" s="269"/>
      <c r="K56" s="267"/>
      <c r="L56" s="268"/>
      <c r="M56" s="269"/>
      <c r="N56" s="267"/>
      <c r="O56" s="268"/>
      <c r="P56" s="453"/>
      <c r="Q56" s="450"/>
      <c r="S56" s="449"/>
      <c r="T56" s="452"/>
      <c r="U56" s="267"/>
      <c r="V56" s="268"/>
      <c r="W56" s="269"/>
      <c r="X56" s="267"/>
      <c r="Y56" s="268"/>
      <c r="Z56" s="269"/>
      <c r="AA56" s="267"/>
      <c r="AB56" s="268"/>
      <c r="AC56" s="453"/>
      <c r="AD56" s="450"/>
      <c r="AF56" s="449"/>
      <c r="AG56" s="452"/>
      <c r="AH56" s="267"/>
      <c r="AI56" s="268"/>
      <c r="AJ56" s="269"/>
      <c r="AK56" s="267"/>
      <c r="AL56" s="268"/>
      <c r="AM56" s="269"/>
      <c r="AN56" s="267"/>
      <c r="AO56" s="268"/>
      <c r="AP56" s="453"/>
      <c r="AQ56" s="450"/>
      <c r="AS56" s="449"/>
      <c r="AT56" s="452"/>
      <c r="AU56" s="267"/>
      <c r="AV56" s="268"/>
      <c r="AW56" s="269"/>
      <c r="AX56" s="267"/>
      <c r="AY56" s="268"/>
      <c r="AZ56" s="269"/>
      <c r="BA56" s="267"/>
      <c r="BB56" s="268"/>
      <c r="BC56" s="453"/>
      <c r="BD56" s="450"/>
      <c r="BF56" s="449"/>
      <c r="BG56" s="452"/>
      <c r="BH56" s="267"/>
      <c r="BI56" s="268"/>
      <c r="BJ56" s="269"/>
      <c r="BK56" s="267"/>
      <c r="BL56" s="268"/>
      <c r="BM56" s="269"/>
      <c r="BN56" s="267"/>
      <c r="BO56" s="268"/>
      <c r="BP56" s="453"/>
      <c r="BQ56" s="450"/>
    </row>
    <row r="57" spans="1:69" hidden="1" x14ac:dyDescent="0.25">
      <c r="A57" t="s">
        <v>36</v>
      </c>
      <c r="F57" s="449"/>
      <c r="G57" s="263"/>
      <c r="H57" s="451"/>
      <c r="I57" s="451"/>
      <c r="J57" s="451"/>
      <c r="K57" s="451"/>
      <c r="L57" s="451"/>
      <c r="M57" s="451"/>
      <c r="N57" s="451"/>
      <c r="O57" s="451"/>
      <c r="P57" s="263"/>
      <c r="Q57" s="450"/>
      <c r="S57" s="449"/>
      <c r="T57" s="263"/>
      <c r="U57" s="451"/>
      <c r="V57" s="451"/>
      <c r="W57" s="451"/>
      <c r="X57" s="451"/>
      <c r="Y57" s="451"/>
      <c r="Z57" s="451"/>
      <c r="AA57" s="451"/>
      <c r="AB57" s="451"/>
      <c r="AC57" s="263"/>
      <c r="AD57" s="450"/>
      <c r="AF57" s="449"/>
      <c r="AG57" s="263"/>
      <c r="AH57" s="451"/>
      <c r="AI57" s="451"/>
      <c r="AJ57" s="451"/>
      <c r="AK57" s="451"/>
      <c r="AL57" s="451"/>
      <c r="AM57" s="451"/>
      <c r="AN57" s="451"/>
      <c r="AO57" s="451"/>
      <c r="AP57" s="263"/>
      <c r="AQ57" s="450"/>
      <c r="AS57" s="449"/>
      <c r="AT57" s="263"/>
      <c r="AU57" s="451"/>
      <c r="AV57" s="451"/>
      <c r="AW57" s="451"/>
      <c r="AX57" s="451"/>
      <c r="AY57" s="451"/>
      <c r="AZ57" s="451"/>
      <c r="BA57" s="451"/>
      <c r="BB57" s="451"/>
      <c r="BC57" s="263"/>
      <c r="BD57" s="450"/>
      <c r="BF57" s="449"/>
      <c r="BG57" s="263"/>
      <c r="BH57" s="451"/>
      <c r="BI57" s="451"/>
      <c r="BJ57" s="451"/>
      <c r="BK57" s="451"/>
      <c r="BL57" s="451"/>
      <c r="BM57" s="451"/>
      <c r="BN57" s="451"/>
      <c r="BO57" s="451"/>
      <c r="BP57" s="263"/>
      <c r="BQ57" s="450"/>
    </row>
    <row r="58" spans="1:69" hidden="1" x14ac:dyDescent="0.25">
      <c r="A58" t="s">
        <v>37</v>
      </c>
      <c r="G58" s="448" t="s">
        <v>1251</v>
      </c>
      <c r="H58" s="448"/>
      <c r="I58" s="448"/>
      <c r="J58" s="448"/>
      <c r="K58" s="448"/>
      <c r="L58" s="448"/>
      <c r="M58" s="448"/>
      <c r="N58" s="448"/>
      <c r="O58" s="448"/>
      <c r="P58" s="448"/>
      <c r="T58" s="448" t="s">
        <v>1251</v>
      </c>
      <c r="U58" s="448"/>
      <c r="V58" s="448"/>
      <c r="W58" s="448"/>
      <c r="X58" s="448"/>
      <c r="Y58" s="448"/>
      <c r="Z58" s="448"/>
      <c r="AA58" s="448"/>
      <c r="AB58" s="448"/>
      <c r="AC58" s="448"/>
      <c r="AG58" s="448" t="s">
        <v>1251</v>
      </c>
      <c r="AH58" s="448"/>
      <c r="AI58" s="448"/>
      <c r="AJ58" s="448"/>
      <c r="AK58" s="448"/>
      <c r="AL58" s="448"/>
      <c r="AM58" s="448"/>
      <c r="AN58" s="448"/>
      <c r="AO58" s="448"/>
      <c r="AP58" s="448"/>
      <c r="AT58" s="448" t="s">
        <v>1251</v>
      </c>
      <c r="AU58" s="448"/>
      <c r="AV58" s="448"/>
      <c r="AW58" s="448"/>
      <c r="AX58" s="448"/>
      <c r="AY58" s="448"/>
      <c r="AZ58" s="448"/>
      <c r="BA58" s="448"/>
      <c r="BB58" s="448"/>
      <c r="BC58" s="448"/>
      <c r="BG58" s="448" t="s">
        <v>1251</v>
      </c>
      <c r="BH58" s="448"/>
      <c r="BI58" s="448"/>
      <c r="BJ58" s="448"/>
      <c r="BK58" s="448"/>
      <c r="BL58" s="448"/>
      <c r="BM58" s="448"/>
      <c r="BN58" s="448"/>
      <c r="BO58" s="448"/>
      <c r="BP58" s="448"/>
    </row>
    <row r="59" spans="1:69" hidden="1" x14ac:dyDescent="0.25">
      <c r="A59" t="s">
        <v>38</v>
      </c>
    </row>
    <row r="60" spans="1:69" hidden="1" x14ac:dyDescent="0.25">
      <c r="A60" t="s">
        <v>39</v>
      </c>
      <c r="G60" s="448" t="s">
        <v>1251</v>
      </c>
      <c r="H60" s="448"/>
      <c r="I60" s="448"/>
      <c r="J60" s="448"/>
      <c r="K60" s="448"/>
      <c r="L60" s="448"/>
      <c r="M60" s="448"/>
      <c r="N60" s="448"/>
      <c r="O60" s="448"/>
      <c r="P60" s="448"/>
      <c r="T60" s="448" t="s">
        <v>1251</v>
      </c>
      <c r="U60" s="448"/>
      <c r="V60" s="448"/>
      <c r="W60" s="448"/>
      <c r="X60" s="448"/>
      <c r="Y60" s="448"/>
      <c r="Z60" s="448"/>
      <c r="AA60" s="448"/>
      <c r="AB60" s="448"/>
      <c r="AC60" s="448"/>
      <c r="AG60" s="448" t="s">
        <v>1251</v>
      </c>
      <c r="AH60" s="448"/>
      <c r="AI60" s="448"/>
      <c r="AJ60" s="448"/>
      <c r="AK60" s="448"/>
      <c r="AL60" s="448"/>
      <c r="AM60" s="448"/>
      <c r="AN60" s="448"/>
      <c r="AO60" s="448"/>
      <c r="AP60" s="448"/>
      <c r="AT60" s="448" t="s">
        <v>1251</v>
      </c>
      <c r="AU60" s="448"/>
      <c r="AV60" s="448"/>
      <c r="AW60" s="448"/>
      <c r="AX60" s="448"/>
      <c r="AY60" s="448"/>
      <c r="AZ60" s="448"/>
      <c r="BA60" s="448"/>
      <c r="BB60" s="448"/>
      <c r="BC60" s="448"/>
      <c r="BG60" s="448" t="s">
        <v>1251</v>
      </c>
      <c r="BH60" s="448"/>
      <c r="BI60" s="448"/>
      <c r="BJ60" s="448"/>
      <c r="BK60" s="448"/>
      <c r="BL60" s="448"/>
      <c r="BM60" s="448"/>
      <c r="BN60" s="448"/>
      <c r="BO60" s="448"/>
      <c r="BP60" s="448"/>
    </row>
    <row r="61" spans="1:69" hidden="1" x14ac:dyDescent="0.25">
      <c r="A61" t="s">
        <v>40</v>
      </c>
      <c r="F61" s="449" t="s">
        <v>1251</v>
      </c>
      <c r="G61" s="263"/>
      <c r="H61" s="451"/>
      <c r="I61" s="451"/>
      <c r="J61" s="451"/>
      <c r="K61" s="451"/>
      <c r="L61" s="451"/>
      <c r="M61" s="451"/>
      <c r="N61" s="451"/>
      <c r="O61" s="451"/>
      <c r="P61" s="263"/>
      <c r="Q61" s="450" t="s">
        <v>1251</v>
      </c>
      <c r="S61" s="449" t="s">
        <v>1251</v>
      </c>
      <c r="T61" s="263"/>
      <c r="U61" s="451"/>
      <c r="V61" s="451"/>
      <c r="W61" s="451"/>
      <c r="X61" s="451"/>
      <c r="Y61" s="451"/>
      <c r="Z61" s="451"/>
      <c r="AA61" s="451"/>
      <c r="AB61" s="451"/>
      <c r="AC61" s="263"/>
      <c r="AD61" s="450" t="s">
        <v>1251</v>
      </c>
      <c r="AF61" s="449" t="s">
        <v>1251</v>
      </c>
      <c r="AG61" s="263"/>
      <c r="AH61" s="451"/>
      <c r="AI61" s="451"/>
      <c r="AJ61" s="451"/>
      <c r="AK61" s="451"/>
      <c r="AL61" s="451"/>
      <c r="AM61" s="451"/>
      <c r="AN61" s="451"/>
      <c r="AO61" s="451"/>
      <c r="AP61" s="263"/>
      <c r="AQ61" s="450" t="s">
        <v>1251</v>
      </c>
      <c r="AS61" s="449" t="s">
        <v>1251</v>
      </c>
      <c r="AT61" s="263"/>
      <c r="AU61" s="451"/>
      <c r="AV61" s="451"/>
      <c r="AW61" s="451"/>
      <c r="AX61" s="451"/>
      <c r="AY61" s="451"/>
      <c r="AZ61" s="451"/>
      <c r="BA61" s="451"/>
      <c r="BB61" s="451"/>
      <c r="BC61" s="263"/>
      <c r="BD61" s="450" t="s">
        <v>1251</v>
      </c>
      <c r="BF61" s="449" t="s">
        <v>1251</v>
      </c>
      <c r="BG61" s="263"/>
      <c r="BH61" s="451"/>
      <c r="BI61" s="451"/>
      <c r="BJ61" s="451"/>
      <c r="BK61" s="451"/>
      <c r="BL61" s="451"/>
      <c r="BM61" s="451"/>
      <c r="BN61" s="451"/>
      <c r="BO61" s="451"/>
      <c r="BP61" s="263"/>
      <c r="BQ61" s="450" t="s">
        <v>1251</v>
      </c>
    </row>
    <row r="62" spans="1:69" ht="56.85" hidden="1" customHeight="1" x14ac:dyDescent="0.25">
      <c r="A62" t="s">
        <v>41</v>
      </c>
      <c r="F62" s="449"/>
      <c r="G62" s="452"/>
      <c r="H62" s="265"/>
      <c r="I62" s="266"/>
      <c r="J62" s="269"/>
      <c r="K62" s="265"/>
      <c r="L62" s="266"/>
      <c r="M62" s="269"/>
      <c r="N62" s="265"/>
      <c r="O62" s="266"/>
      <c r="P62" s="453"/>
      <c r="Q62" s="450"/>
      <c r="S62" s="449"/>
      <c r="T62" s="452"/>
      <c r="U62" s="265"/>
      <c r="V62" s="266"/>
      <c r="W62" s="269"/>
      <c r="X62" s="265"/>
      <c r="Y62" s="266"/>
      <c r="Z62" s="269"/>
      <c r="AA62" s="265"/>
      <c r="AB62" s="266"/>
      <c r="AC62" s="453"/>
      <c r="AD62" s="450"/>
      <c r="AF62" s="449"/>
      <c r="AG62" s="452"/>
      <c r="AH62" s="265"/>
      <c r="AI62" s="266"/>
      <c r="AJ62" s="269"/>
      <c r="AK62" s="265"/>
      <c r="AL62" s="266"/>
      <c r="AM62" s="269"/>
      <c r="AN62" s="265"/>
      <c r="AO62" s="266"/>
      <c r="AP62" s="453"/>
      <c r="AQ62" s="450"/>
      <c r="AS62" s="449"/>
      <c r="AT62" s="452"/>
      <c r="AU62" s="265"/>
      <c r="AV62" s="266"/>
      <c r="AW62" s="269"/>
      <c r="AX62" s="265"/>
      <c r="AY62" s="266"/>
      <c r="AZ62" s="269"/>
      <c r="BA62" s="265"/>
      <c r="BB62" s="266"/>
      <c r="BC62" s="453"/>
      <c r="BD62" s="450"/>
      <c r="BF62" s="449"/>
      <c r="BG62" s="452"/>
      <c r="BH62" s="265"/>
      <c r="BI62" s="266"/>
      <c r="BJ62" s="269"/>
      <c r="BK62" s="265"/>
      <c r="BL62" s="266"/>
      <c r="BM62" s="269"/>
      <c r="BN62" s="265"/>
      <c r="BO62" s="266"/>
      <c r="BP62" s="453"/>
      <c r="BQ62" s="450"/>
    </row>
    <row r="63" spans="1:69" ht="56.85" hidden="1" customHeight="1" x14ac:dyDescent="0.25">
      <c r="A63" t="s">
        <v>42</v>
      </c>
      <c r="F63" s="449"/>
      <c r="G63" s="452"/>
      <c r="H63" s="267"/>
      <c r="I63" s="268"/>
      <c r="J63" s="269"/>
      <c r="K63" s="267"/>
      <c r="L63" s="268"/>
      <c r="M63" s="269"/>
      <c r="N63" s="267"/>
      <c r="O63" s="268"/>
      <c r="P63" s="453"/>
      <c r="Q63" s="450"/>
      <c r="S63" s="449"/>
      <c r="T63" s="452"/>
      <c r="U63" s="267"/>
      <c r="V63" s="268"/>
      <c r="W63" s="269"/>
      <c r="X63" s="267"/>
      <c r="Y63" s="268"/>
      <c r="Z63" s="269"/>
      <c r="AA63" s="267"/>
      <c r="AB63" s="268"/>
      <c r="AC63" s="453"/>
      <c r="AD63" s="450"/>
      <c r="AF63" s="449"/>
      <c r="AG63" s="452"/>
      <c r="AH63" s="267"/>
      <c r="AI63" s="268"/>
      <c r="AJ63" s="269"/>
      <c r="AK63" s="267"/>
      <c r="AL63" s="268"/>
      <c r="AM63" s="269"/>
      <c r="AN63" s="267"/>
      <c r="AO63" s="268"/>
      <c r="AP63" s="453"/>
      <c r="AQ63" s="450"/>
      <c r="AS63" s="449"/>
      <c r="AT63" s="452"/>
      <c r="AU63" s="267"/>
      <c r="AV63" s="268"/>
      <c r="AW63" s="269"/>
      <c r="AX63" s="267"/>
      <c r="AY63" s="268"/>
      <c r="AZ63" s="269"/>
      <c r="BA63" s="267"/>
      <c r="BB63" s="268"/>
      <c r="BC63" s="453"/>
      <c r="BD63" s="450"/>
      <c r="BF63" s="449"/>
      <c r="BG63" s="452"/>
      <c r="BH63" s="267"/>
      <c r="BI63" s="268"/>
      <c r="BJ63" s="269"/>
      <c r="BK63" s="267"/>
      <c r="BL63" s="268"/>
      <c r="BM63" s="269"/>
      <c r="BN63" s="267"/>
      <c r="BO63" s="268"/>
      <c r="BP63" s="453"/>
      <c r="BQ63" s="450"/>
    </row>
    <row r="64" spans="1:69" hidden="1" x14ac:dyDescent="0.25">
      <c r="A64" t="s">
        <v>377</v>
      </c>
      <c r="F64" s="449"/>
      <c r="G64" s="452"/>
      <c r="H64" s="269"/>
      <c r="I64" s="269"/>
      <c r="J64" s="269"/>
      <c r="K64" s="269"/>
      <c r="L64" s="269"/>
      <c r="M64" s="269"/>
      <c r="N64" s="269"/>
      <c r="O64" s="269"/>
      <c r="P64" s="453"/>
      <c r="Q64" s="450"/>
      <c r="S64" s="449"/>
      <c r="T64" s="452"/>
      <c r="U64" s="269"/>
      <c r="V64" s="269"/>
      <c r="W64" s="269"/>
      <c r="X64" s="269"/>
      <c r="Y64" s="269"/>
      <c r="Z64" s="269"/>
      <c r="AA64" s="269"/>
      <c r="AB64" s="269"/>
      <c r="AC64" s="453"/>
      <c r="AD64" s="450"/>
      <c r="AF64" s="449"/>
      <c r="AG64" s="452"/>
      <c r="AH64" s="269"/>
      <c r="AI64" s="269"/>
      <c r="AJ64" s="269"/>
      <c r="AK64" s="269"/>
      <c r="AL64" s="269"/>
      <c r="AM64" s="269"/>
      <c r="AN64" s="269"/>
      <c r="AO64" s="269"/>
      <c r="AP64" s="453"/>
      <c r="AQ64" s="450"/>
      <c r="AS64" s="449"/>
      <c r="AT64" s="452"/>
      <c r="AU64" s="269"/>
      <c r="AV64" s="269"/>
      <c r="AW64" s="269"/>
      <c r="AX64" s="269"/>
      <c r="AY64" s="269"/>
      <c r="AZ64" s="269"/>
      <c r="BA64" s="269"/>
      <c r="BB64" s="269"/>
      <c r="BC64" s="453"/>
      <c r="BD64" s="450"/>
      <c r="BF64" s="449"/>
      <c r="BG64" s="452"/>
      <c r="BH64" s="269"/>
      <c r="BI64" s="269"/>
      <c r="BJ64" s="269"/>
      <c r="BK64" s="269"/>
      <c r="BL64" s="269"/>
      <c r="BM64" s="269"/>
      <c r="BN64" s="269"/>
      <c r="BO64" s="269"/>
      <c r="BP64" s="453"/>
      <c r="BQ64" s="450"/>
    </row>
    <row r="65" spans="1:69" ht="56.85" hidden="1" customHeight="1" x14ac:dyDescent="0.25">
      <c r="A65" t="s">
        <v>378</v>
      </c>
      <c r="F65" s="449"/>
      <c r="G65" s="452"/>
      <c r="H65" s="265"/>
      <c r="I65" s="266"/>
      <c r="J65" s="269"/>
      <c r="K65" s="265"/>
      <c r="L65" s="266"/>
      <c r="M65" s="269"/>
      <c r="N65" s="265"/>
      <c r="O65" s="266"/>
      <c r="P65" s="453"/>
      <c r="Q65" s="450"/>
      <c r="S65" s="449"/>
      <c r="T65" s="452"/>
      <c r="U65" s="265"/>
      <c r="V65" s="266"/>
      <c r="W65" s="269"/>
      <c r="X65" s="265"/>
      <c r="Y65" s="266"/>
      <c r="Z65" s="269"/>
      <c r="AA65" s="265"/>
      <c r="AB65" s="266"/>
      <c r="AC65" s="453"/>
      <c r="AD65" s="450"/>
      <c r="AF65" s="449"/>
      <c r="AG65" s="452"/>
      <c r="AH65" s="265"/>
      <c r="AI65" s="266"/>
      <c r="AJ65" s="269"/>
      <c r="AK65" s="265"/>
      <c r="AL65" s="266"/>
      <c r="AM65" s="269"/>
      <c r="AN65" s="265"/>
      <c r="AO65" s="266"/>
      <c r="AP65" s="453"/>
      <c r="AQ65" s="450"/>
      <c r="AS65" s="449"/>
      <c r="AT65" s="452"/>
      <c r="AU65" s="265"/>
      <c r="AV65" s="266"/>
      <c r="AW65" s="269"/>
      <c r="AX65" s="265"/>
      <c r="AY65" s="266"/>
      <c r="AZ65" s="269"/>
      <c r="BA65" s="265"/>
      <c r="BB65" s="266"/>
      <c r="BC65" s="453"/>
      <c r="BD65" s="450"/>
      <c r="BF65" s="449"/>
      <c r="BG65" s="452"/>
      <c r="BH65" s="265"/>
      <c r="BI65" s="266"/>
      <c r="BJ65" s="269"/>
      <c r="BK65" s="265"/>
      <c r="BL65" s="266"/>
      <c r="BM65" s="269"/>
      <c r="BN65" s="265"/>
      <c r="BO65" s="266"/>
      <c r="BP65" s="453"/>
      <c r="BQ65" s="450"/>
    </row>
    <row r="66" spans="1:69" ht="56.85" hidden="1" customHeight="1" x14ac:dyDescent="0.25">
      <c r="A66" s="5"/>
      <c r="F66" s="449"/>
      <c r="G66" s="452"/>
      <c r="H66" s="267"/>
      <c r="I66" s="268"/>
      <c r="J66" s="269"/>
      <c r="K66" s="267"/>
      <c r="L66" s="268"/>
      <c r="M66" s="269"/>
      <c r="N66" s="267"/>
      <c r="O66" s="268"/>
      <c r="P66" s="453"/>
      <c r="Q66" s="450"/>
      <c r="S66" s="449"/>
      <c r="T66" s="452"/>
      <c r="U66" s="267"/>
      <c r="V66" s="268"/>
      <c r="W66" s="269"/>
      <c r="X66" s="267"/>
      <c r="Y66" s="268"/>
      <c r="Z66" s="269"/>
      <c r="AA66" s="267"/>
      <c r="AB66" s="268"/>
      <c r="AC66" s="453"/>
      <c r="AD66" s="450"/>
      <c r="AF66" s="449"/>
      <c r="AG66" s="452"/>
      <c r="AH66" s="267"/>
      <c r="AI66" s="268"/>
      <c r="AJ66" s="269"/>
      <c r="AK66" s="267"/>
      <c r="AL66" s="268"/>
      <c r="AM66" s="269"/>
      <c r="AN66" s="267"/>
      <c r="AO66" s="268"/>
      <c r="AP66" s="453"/>
      <c r="AQ66" s="450"/>
      <c r="AS66" s="449"/>
      <c r="AT66" s="452"/>
      <c r="AU66" s="267"/>
      <c r="AV66" s="268"/>
      <c r="AW66" s="269"/>
      <c r="AX66" s="267"/>
      <c r="AY66" s="268"/>
      <c r="AZ66" s="269"/>
      <c r="BA66" s="267"/>
      <c r="BB66" s="268"/>
      <c r="BC66" s="453"/>
      <c r="BD66" s="450"/>
      <c r="BF66" s="449"/>
      <c r="BG66" s="452"/>
      <c r="BH66" s="267"/>
      <c r="BI66" s="268"/>
      <c r="BJ66" s="269"/>
      <c r="BK66" s="267"/>
      <c r="BL66" s="268"/>
      <c r="BM66" s="269"/>
      <c r="BN66" s="267"/>
      <c r="BO66" s="268"/>
      <c r="BP66" s="453"/>
      <c r="BQ66" s="450"/>
    </row>
    <row r="67" spans="1:69" hidden="1" x14ac:dyDescent="0.25">
      <c r="A67" s="5"/>
      <c r="F67" s="449"/>
      <c r="G67" s="452"/>
      <c r="H67" s="269"/>
      <c r="I67" s="269"/>
      <c r="J67" s="269"/>
      <c r="K67" s="269"/>
      <c r="L67" s="269"/>
      <c r="M67" s="269"/>
      <c r="N67" s="269"/>
      <c r="O67" s="269"/>
      <c r="P67" s="453"/>
      <c r="Q67" s="450"/>
      <c r="S67" s="449"/>
      <c r="T67" s="452"/>
      <c r="U67" s="269"/>
      <c r="V67" s="269"/>
      <c r="W67" s="269"/>
      <c r="X67" s="269"/>
      <c r="Y67" s="269"/>
      <c r="Z67" s="269"/>
      <c r="AA67" s="269"/>
      <c r="AB67" s="269"/>
      <c r="AC67" s="453"/>
      <c r="AD67" s="450"/>
      <c r="AF67" s="449"/>
      <c r="AG67" s="452"/>
      <c r="AH67" s="269"/>
      <c r="AI67" s="269"/>
      <c r="AJ67" s="269"/>
      <c r="AK67" s="269"/>
      <c r="AL67" s="269"/>
      <c r="AM67" s="269"/>
      <c r="AN67" s="269"/>
      <c r="AO67" s="269"/>
      <c r="AP67" s="453"/>
      <c r="AQ67" s="450"/>
      <c r="AS67" s="449"/>
      <c r="AT67" s="452"/>
      <c r="AU67" s="269"/>
      <c r="AV67" s="269"/>
      <c r="AW67" s="269"/>
      <c r="AX67" s="269"/>
      <c r="AY67" s="269"/>
      <c r="AZ67" s="269"/>
      <c r="BA67" s="269"/>
      <c r="BB67" s="269"/>
      <c r="BC67" s="453"/>
      <c r="BD67" s="450"/>
      <c r="BF67" s="449"/>
      <c r="BG67" s="452"/>
      <c r="BH67" s="269"/>
      <c r="BI67" s="269"/>
      <c r="BJ67" s="269"/>
      <c r="BK67" s="269"/>
      <c r="BL67" s="269"/>
      <c r="BM67" s="269"/>
      <c r="BN67" s="269"/>
      <c r="BO67" s="269"/>
      <c r="BP67" s="453"/>
      <c r="BQ67" s="450"/>
    </row>
    <row r="68" spans="1:69" ht="56.85" hidden="1" customHeight="1" x14ac:dyDescent="0.25">
      <c r="A68" s="5"/>
      <c r="F68" s="449"/>
      <c r="G68" s="452"/>
      <c r="H68" s="265"/>
      <c r="I68" s="266"/>
      <c r="J68" s="269"/>
      <c r="K68" s="265"/>
      <c r="L68" s="266"/>
      <c r="M68" s="269"/>
      <c r="N68" s="265"/>
      <c r="O68" s="266"/>
      <c r="P68" s="453"/>
      <c r="Q68" s="450"/>
      <c r="S68" s="449"/>
      <c r="T68" s="452"/>
      <c r="U68" s="265"/>
      <c r="V68" s="266"/>
      <c r="W68" s="269"/>
      <c r="X68" s="265"/>
      <c r="Y68" s="266"/>
      <c r="Z68" s="269"/>
      <c r="AA68" s="265"/>
      <c r="AB68" s="266"/>
      <c r="AC68" s="453"/>
      <c r="AD68" s="450"/>
      <c r="AF68" s="449"/>
      <c r="AG68" s="452"/>
      <c r="AH68" s="265"/>
      <c r="AI68" s="266"/>
      <c r="AJ68" s="269"/>
      <c r="AK68" s="265"/>
      <c r="AL68" s="266"/>
      <c r="AM68" s="269"/>
      <c r="AN68" s="265"/>
      <c r="AO68" s="266"/>
      <c r="AP68" s="453"/>
      <c r="AQ68" s="450"/>
      <c r="AS68" s="449"/>
      <c r="AT68" s="452"/>
      <c r="AU68" s="265"/>
      <c r="AV68" s="266"/>
      <c r="AW68" s="269"/>
      <c r="AX68" s="265"/>
      <c r="AY68" s="266"/>
      <c r="AZ68" s="269"/>
      <c r="BA68" s="265"/>
      <c r="BB68" s="266"/>
      <c r="BC68" s="453"/>
      <c r="BD68" s="450"/>
      <c r="BF68" s="449"/>
      <c r="BG68" s="452"/>
      <c r="BH68" s="265"/>
      <c r="BI68" s="266"/>
      <c r="BJ68" s="269"/>
      <c r="BK68" s="265"/>
      <c r="BL68" s="266"/>
      <c r="BM68" s="269"/>
      <c r="BN68" s="265"/>
      <c r="BO68" s="266"/>
      <c r="BP68" s="453"/>
      <c r="BQ68" s="450"/>
    </row>
    <row r="69" spans="1:69" ht="56.85" hidden="1" customHeight="1" x14ac:dyDescent="0.25">
      <c r="A69" s="5"/>
      <c r="F69" s="449"/>
      <c r="G69" s="452"/>
      <c r="H69" s="267"/>
      <c r="I69" s="268"/>
      <c r="J69" s="269"/>
      <c r="K69" s="267"/>
      <c r="L69" s="268"/>
      <c r="M69" s="269"/>
      <c r="N69" s="267"/>
      <c r="O69" s="268"/>
      <c r="P69" s="453"/>
      <c r="Q69" s="450"/>
      <c r="S69" s="449"/>
      <c r="T69" s="452"/>
      <c r="U69" s="267"/>
      <c r="V69" s="268"/>
      <c r="W69" s="269"/>
      <c r="X69" s="267"/>
      <c r="Y69" s="268"/>
      <c r="Z69" s="269"/>
      <c r="AA69" s="267"/>
      <c r="AB69" s="268"/>
      <c r="AC69" s="453"/>
      <c r="AD69" s="450"/>
      <c r="AF69" s="449"/>
      <c r="AG69" s="452"/>
      <c r="AH69" s="267"/>
      <c r="AI69" s="268"/>
      <c r="AJ69" s="269"/>
      <c r="AK69" s="267"/>
      <c r="AL69" s="268"/>
      <c r="AM69" s="269"/>
      <c r="AN69" s="267"/>
      <c r="AO69" s="268"/>
      <c r="AP69" s="453"/>
      <c r="AQ69" s="450"/>
      <c r="AS69" s="449"/>
      <c r="AT69" s="452"/>
      <c r="AU69" s="267"/>
      <c r="AV69" s="268"/>
      <c r="AW69" s="269"/>
      <c r="AX69" s="267"/>
      <c r="AY69" s="268"/>
      <c r="AZ69" s="269"/>
      <c r="BA69" s="267"/>
      <c r="BB69" s="268"/>
      <c r="BC69" s="453"/>
      <c r="BD69" s="450"/>
      <c r="BF69" s="449"/>
      <c r="BG69" s="452"/>
      <c r="BH69" s="267"/>
      <c r="BI69" s="268"/>
      <c r="BJ69" s="269"/>
      <c r="BK69" s="267"/>
      <c r="BL69" s="268"/>
      <c r="BM69" s="269"/>
      <c r="BN69" s="267"/>
      <c r="BO69" s="268"/>
      <c r="BP69" s="453"/>
      <c r="BQ69" s="450"/>
    </row>
    <row r="70" spans="1:69" hidden="1" x14ac:dyDescent="0.25">
      <c r="A70" s="5"/>
      <c r="F70" s="449"/>
      <c r="G70" s="263"/>
      <c r="H70" s="451"/>
      <c r="I70" s="451"/>
      <c r="J70" s="451"/>
      <c r="K70" s="451"/>
      <c r="L70" s="451"/>
      <c r="M70" s="451"/>
      <c r="N70" s="451"/>
      <c r="O70" s="451"/>
      <c r="P70" s="263"/>
      <c r="Q70" s="450"/>
      <c r="S70" s="449"/>
      <c r="T70" s="263"/>
      <c r="U70" s="451"/>
      <c r="V70" s="451"/>
      <c r="W70" s="451"/>
      <c r="X70" s="451"/>
      <c r="Y70" s="451"/>
      <c r="Z70" s="451"/>
      <c r="AA70" s="451"/>
      <c r="AB70" s="451"/>
      <c r="AC70" s="263"/>
      <c r="AD70" s="450"/>
      <c r="AF70" s="449"/>
      <c r="AG70" s="263"/>
      <c r="AH70" s="451"/>
      <c r="AI70" s="451"/>
      <c r="AJ70" s="451"/>
      <c r="AK70" s="451"/>
      <c r="AL70" s="451"/>
      <c r="AM70" s="451"/>
      <c r="AN70" s="451"/>
      <c r="AO70" s="451"/>
      <c r="AP70" s="263"/>
      <c r="AQ70" s="450"/>
      <c r="AS70" s="449"/>
      <c r="AT70" s="263"/>
      <c r="AU70" s="451"/>
      <c r="AV70" s="451"/>
      <c r="AW70" s="451"/>
      <c r="AX70" s="451"/>
      <c r="AY70" s="451"/>
      <c r="AZ70" s="451"/>
      <c r="BA70" s="451"/>
      <c r="BB70" s="451"/>
      <c r="BC70" s="263"/>
      <c r="BD70" s="450"/>
      <c r="BF70" s="449"/>
      <c r="BG70" s="263"/>
      <c r="BH70" s="451"/>
      <c r="BI70" s="451"/>
      <c r="BJ70" s="451"/>
      <c r="BK70" s="451"/>
      <c r="BL70" s="451"/>
      <c r="BM70" s="451"/>
      <c r="BN70" s="451"/>
      <c r="BO70" s="451"/>
      <c r="BP70" s="263"/>
      <c r="BQ70" s="450"/>
    </row>
    <row r="71" spans="1:69" hidden="1" x14ac:dyDescent="0.25">
      <c r="A71" s="5"/>
      <c r="G71" s="448" t="s">
        <v>1251</v>
      </c>
      <c r="H71" s="448"/>
      <c r="I71" s="448"/>
      <c r="J71" s="448"/>
      <c r="K71" s="448"/>
      <c r="L71" s="448"/>
      <c r="M71" s="448"/>
      <c r="N71" s="448"/>
      <c r="O71" s="448"/>
      <c r="P71" s="448"/>
      <c r="T71" s="448" t="s">
        <v>1251</v>
      </c>
      <c r="U71" s="448"/>
      <c r="V71" s="448"/>
      <c r="W71" s="448"/>
      <c r="X71" s="448"/>
      <c r="Y71" s="448"/>
      <c r="Z71" s="448"/>
      <c r="AA71" s="448"/>
      <c r="AB71" s="448"/>
      <c r="AC71" s="448"/>
      <c r="AG71" s="448" t="s">
        <v>1251</v>
      </c>
      <c r="AH71" s="448"/>
      <c r="AI71" s="448"/>
      <c r="AJ71" s="448"/>
      <c r="AK71" s="448"/>
      <c r="AL71" s="448"/>
      <c r="AM71" s="448"/>
      <c r="AN71" s="448"/>
      <c r="AO71" s="448"/>
      <c r="AP71" s="448"/>
      <c r="AT71" s="448" t="s">
        <v>1251</v>
      </c>
      <c r="AU71" s="448"/>
      <c r="AV71" s="448"/>
      <c r="AW71" s="448"/>
      <c r="AX71" s="448"/>
      <c r="AY71" s="448"/>
      <c r="AZ71" s="448"/>
      <c r="BA71" s="448"/>
      <c r="BB71" s="448"/>
      <c r="BC71" s="448"/>
      <c r="BG71" s="448" t="s">
        <v>1251</v>
      </c>
      <c r="BH71" s="448"/>
      <c r="BI71" s="448"/>
      <c r="BJ71" s="448"/>
      <c r="BK71" s="448"/>
      <c r="BL71" s="448"/>
      <c r="BM71" s="448"/>
      <c r="BN71" s="448"/>
      <c r="BO71" s="448"/>
      <c r="BP71" s="448"/>
    </row>
  </sheetData>
  <sheetProtection sheet="1" objects="1" scenarios="1" selectLockedCells="1"/>
  <mergeCells count="200">
    <mergeCell ref="G8:P8"/>
    <mergeCell ref="T8:AC8"/>
    <mergeCell ref="AG8:AP8"/>
    <mergeCell ref="AT8:BC8"/>
    <mergeCell ref="BG8:BP8"/>
    <mergeCell ref="F9:F18"/>
    <mergeCell ref="H9:O9"/>
    <mergeCell ref="Q9:Q18"/>
    <mergeCell ref="S9:S18"/>
    <mergeCell ref="U9:AB9"/>
    <mergeCell ref="BQ9:BQ18"/>
    <mergeCell ref="G10:G17"/>
    <mergeCell ref="P10:P17"/>
    <mergeCell ref="T10:T17"/>
    <mergeCell ref="AC10:AC17"/>
    <mergeCell ref="AG10:AG17"/>
    <mergeCell ref="AP10:AP17"/>
    <mergeCell ref="AD9:AD18"/>
    <mergeCell ref="AF9:AF18"/>
    <mergeCell ref="AH9:AO9"/>
    <mergeCell ref="AQ9:AQ18"/>
    <mergeCell ref="AS9:AS18"/>
    <mergeCell ref="AU9:BB9"/>
    <mergeCell ref="AT10:AT17"/>
    <mergeCell ref="AT19:BC19"/>
    <mergeCell ref="BG19:BP19"/>
    <mergeCell ref="G21:P21"/>
    <mergeCell ref="T21:AC21"/>
    <mergeCell ref="AG21:AP21"/>
    <mergeCell ref="AT21:BC21"/>
    <mergeCell ref="BG21:BP21"/>
    <mergeCell ref="BC10:BC17"/>
    <mergeCell ref="BG10:BG17"/>
    <mergeCell ref="BP10:BP17"/>
    <mergeCell ref="H18:O18"/>
    <mergeCell ref="U18:AB18"/>
    <mergeCell ref="AH18:AO18"/>
    <mergeCell ref="AU18:BB18"/>
    <mergeCell ref="BH18:BO18"/>
    <mergeCell ref="BD9:BD18"/>
    <mergeCell ref="BF9:BF18"/>
    <mergeCell ref="BH9:BO9"/>
    <mergeCell ref="F22:F31"/>
    <mergeCell ref="H22:O22"/>
    <mergeCell ref="Q22:Q31"/>
    <mergeCell ref="S22:S31"/>
    <mergeCell ref="U22:AB22"/>
    <mergeCell ref="AD22:AD31"/>
    <mergeCell ref="G19:P19"/>
    <mergeCell ref="T19:AC19"/>
    <mergeCell ref="AG19:AP19"/>
    <mergeCell ref="BQ22:BQ31"/>
    <mergeCell ref="G23:G30"/>
    <mergeCell ref="P23:P30"/>
    <mergeCell ref="T23:T30"/>
    <mergeCell ref="AC23:AC30"/>
    <mergeCell ref="AG23:AG30"/>
    <mergeCell ref="AP23:AP30"/>
    <mergeCell ref="AT23:AT30"/>
    <mergeCell ref="AF22:AF31"/>
    <mergeCell ref="AH22:AO22"/>
    <mergeCell ref="AQ22:AQ31"/>
    <mergeCell ref="AS22:AS31"/>
    <mergeCell ref="AU22:BB22"/>
    <mergeCell ref="BD22:BD31"/>
    <mergeCell ref="BC23:BC30"/>
    <mergeCell ref="AT32:BC32"/>
    <mergeCell ref="BG32:BP32"/>
    <mergeCell ref="G34:P34"/>
    <mergeCell ref="T34:AC34"/>
    <mergeCell ref="AG34:AP34"/>
    <mergeCell ref="AT34:BC34"/>
    <mergeCell ref="BG34:BP34"/>
    <mergeCell ref="BG23:BG30"/>
    <mergeCell ref="BP23:BP30"/>
    <mergeCell ref="H31:O31"/>
    <mergeCell ref="U31:AB31"/>
    <mergeCell ref="AH31:AO31"/>
    <mergeCell ref="AU31:BB31"/>
    <mergeCell ref="BH31:BO31"/>
    <mergeCell ref="BF22:BF31"/>
    <mergeCell ref="BH22:BO22"/>
    <mergeCell ref="F35:F44"/>
    <mergeCell ref="H35:O35"/>
    <mergeCell ref="Q35:Q44"/>
    <mergeCell ref="S35:S44"/>
    <mergeCell ref="U35:AB35"/>
    <mergeCell ref="AD35:AD44"/>
    <mergeCell ref="G32:P32"/>
    <mergeCell ref="T32:AC32"/>
    <mergeCell ref="AG32:AP32"/>
    <mergeCell ref="BQ35:BQ44"/>
    <mergeCell ref="G36:G43"/>
    <mergeCell ref="P36:P43"/>
    <mergeCell ref="T36:T43"/>
    <mergeCell ref="AC36:AC43"/>
    <mergeCell ref="AG36:AG43"/>
    <mergeCell ref="AP36:AP43"/>
    <mergeCell ref="AT36:AT43"/>
    <mergeCell ref="AF35:AF44"/>
    <mergeCell ref="AH35:AO35"/>
    <mergeCell ref="AQ35:AQ44"/>
    <mergeCell ref="AS35:AS44"/>
    <mergeCell ref="AU35:BB35"/>
    <mergeCell ref="BD35:BD44"/>
    <mergeCell ref="BC36:BC43"/>
    <mergeCell ref="AT45:BC45"/>
    <mergeCell ref="BG45:BP45"/>
    <mergeCell ref="G47:P47"/>
    <mergeCell ref="T47:AC47"/>
    <mergeCell ref="AG47:AP47"/>
    <mergeCell ref="AT47:BC47"/>
    <mergeCell ref="BG47:BP47"/>
    <mergeCell ref="BG36:BG43"/>
    <mergeCell ref="BP36:BP43"/>
    <mergeCell ref="H44:O44"/>
    <mergeCell ref="U44:AB44"/>
    <mergeCell ref="AH44:AO44"/>
    <mergeCell ref="AU44:BB44"/>
    <mergeCell ref="BH44:BO44"/>
    <mergeCell ref="BF35:BF44"/>
    <mergeCell ref="BH35:BO35"/>
    <mergeCell ref="F48:F57"/>
    <mergeCell ref="H48:O48"/>
    <mergeCell ref="Q48:Q57"/>
    <mergeCell ref="S48:S57"/>
    <mergeCell ref="U48:AB48"/>
    <mergeCell ref="AD48:AD57"/>
    <mergeCell ref="G45:P45"/>
    <mergeCell ref="T45:AC45"/>
    <mergeCell ref="AG45:AP45"/>
    <mergeCell ref="BQ48:BQ57"/>
    <mergeCell ref="G49:G56"/>
    <mergeCell ref="P49:P56"/>
    <mergeCell ref="T49:T56"/>
    <mergeCell ref="AC49:AC56"/>
    <mergeCell ref="AG49:AG56"/>
    <mergeCell ref="AP49:AP56"/>
    <mergeCell ref="AT49:AT56"/>
    <mergeCell ref="AF48:AF57"/>
    <mergeCell ref="AH48:AO48"/>
    <mergeCell ref="AQ48:AQ57"/>
    <mergeCell ref="AS48:AS57"/>
    <mergeCell ref="AU48:BB48"/>
    <mergeCell ref="BD48:BD57"/>
    <mergeCell ref="BC49:BC56"/>
    <mergeCell ref="AT58:BC58"/>
    <mergeCell ref="BG58:BP58"/>
    <mergeCell ref="G60:P60"/>
    <mergeCell ref="T60:AC60"/>
    <mergeCell ref="AG60:AP60"/>
    <mergeCell ref="AT60:BC60"/>
    <mergeCell ref="BG60:BP60"/>
    <mergeCell ref="BG49:BG56"/>
    <mergeCell ref="BP49:BP56"/>
    <mergeCell ref="H57:O57"/>
    <mergeCell ref="U57:AB57"/>
    <mergeCell ref="AH57:AO57"/>
    <mergeCell ref="AU57:BB57"/>
    <mergeCell ref="BH57:BO57"/>
    <mergeCell ref="BF48:BF57"/>
    <mergeCell ref="BH48:BO48"/>
    <mergeCell ref="F61:F70"/>
    <mergeCell ref="H61:O61"/>
    <mergeCell ref="Q61:Q70"/>
    <mergeCell ref="S61:S70"/>
    <mergeCell ref="U61:AB61"/>
    <mergeCell ref="AD61:AD70"/>
    <mergeCell ref="G58:P58"/>
    <mergeCell ref="T58:AC58"/>
    <mergeCell ref="AG58:AP58"/>
    <mergeCell ref="BQ61:BQ70"/>
    <mergeCell ref="G62:G69"/>
    <mergeCell ref="P62:P69"/>
    <mergeCell ref="T62:T69"/>
    <mergeCell ref="AC62:AC69"/>
    <mergeCell ref="AG62:AG69"/>
    <mergeCell ref="AP62:AP69"/>
    <mergeCell ref="AT62:AT69"/>
    <mergeCell ref="AF61:AF70"/>
    <mergeCell ref="AH61:AO61"/>
    <mergeCell ref="AQ61:AQ70"/>
    <mergeCell ref="AS61:AS70"/>
    <mergeCell ref="AU61:BB61"/>
    <mergeCell ref="BD61:BD70"/>
    <mergeCell ref="BC62:BC69"/>
    <mergeCell ref="G71:P71"/>
    <mergeCell ref="T71:AC71"/>
    <mergeCell ref="AG71:AP71"/>
    <mergeCell ref="AT71:BC71"/>
    <mergeCell ref="BG71:BP71"/>
    <mergeCell ref="BG62:BG69"/>
    <mergeCell ref="BP62:BP69"/>
    <mergeCell ref="H70:O70"/>
    <mergeCell ref="U70:AB70"/>
    <mergeCell ref="AH70:AO70"/>
    <mergeCell ref="AU70:BB70"/>
    <mergeCell ref="BH70:BO70"/>
    <mergeCell ref="BF61:BF70"/>
    <mergeCell ref="BH61:BO61"/>
  </mergeCells>
  <conditionalFormatting sqref="H9:O9">
    <cfRule type="expression" dxfId="4624" priority="925">
      <formula>H9="City Wall"</formula>
    </cfRule>
  </conditionalFormatting>
  <conditionalFormatting sqref="H18:O18">
    <cfRule type="expression" dxfId="4623" priority="924">
      <formula>H18="City Wall"</formula>
    </cfRule>
  </conditionalFormatting>
  <conditionalFormatting sqref="G10:G17">
    <cfRule type="expression" dxfId="4622" priority="923">
      <formula>G10="City Wall"</formula>
    </cfRule>
  </conditionalFormatting>
  <conditionalFormatting sqref="P10:P17">
    <cfRule type="expression" dxfId="4621" priority="922">
      <formula>P10="City Wall"</formula>
    </cfRule>
  </conditionalFormatting>
  <conditionalFormatting sqref="G9">
    <cfRule type="expression" dxfId="4620" priority="920">
      <formula>G10="City Wall"</formula>
    </cfRule>
    <cfRule type="expression" dxfId="4619" priority="921">
      <formula>H9="City Wall"</formula>
    </cfRule>
  </conditionalFormatting>
  <conditionalFormatting sqref="P9">
    <cfRule type="expression" dxfId="4618" priority="918">
      <formula>P10="City Wall"</formula>
    </cfRule>
    <cfRule type="expression" dxfId="4617" priority="919">
      <formula>H9="City Wall"</formula>
    </cfRule>
  </conditionalFormatting>
  <conditionalFormatting sqref="P18">
    <cfRule type="expression" dxfId="4616" priority="916">
      <formula>H18="City Wall"</formula>
    </cfRule>
    <cfRule type="expression" dxfId="4615" priority="917">
      <formula>P10="City Wall"</formula>
    </cfRule>
  </conditionalFormatting>
  <conditionalFormatting sqref="G18">
    <cfRule type="expression" dxfId="4614" priority="914">
      <formula>G10="City Wall"</formula>
    </cfRule>
    <cfRule type="expression" dxfId="4613" priority="915">
      <formula>H18="City Wall"</formula>
    </cfRule>
  </conditionalFormatting>
  <conditionalFormatting sqref="G19:P19">
    <cfRule type="expression" dxfId="4612" priority="912">
      <formula>G19="Land"</formula>
    </cfRule>
    <cfRule type="expression" dxfId="4611" priority="913">
      <formula>G19="Water"</formula>
    </cfRule>
  </conditionalFormatting>
  <conditionalFormatting sqref="Q19">
    <cfRule type="expression" dxfId="4610" priority="908" stopIfTrue="1">
      <formula>Q9="Water"</formula>
    </cfRule>
    <cfRule type="expression" dxfId="4609" priority="909" stopIfTrue="1">
      <formula>G19="Water"</formula>
    </cfRule>
    <cfRule type="expression" dxfId="4608" priority="910" stopIfTrue="1">
      <formula>G19="Land"</formula>
    </cfRule>
    <cfRule type="expression" dxfId="4607" priority="911" stopIfTrue="1">
      <formula>Q9="Land"</formula>
    </cfRule>
  </conditionalFormatting>
  <conditionalFormatting sqref="G8:P8">
    <cfRule type="expression" dxfId="4606" priority="906" stopIfTrue="1">
      <formula>G8="Water"</formula>
    </cfRule>
    <cfRule type="expression" dxfId="4605" priority="907" stopIfTrue="1">
      <formula>G8="Land"</formula>
    </cfRule>
  </conditionalFormatting>
  <conditionalFormatting sqref="F19">
    <cfRule type="expression" dxfId="4604" priority="902" stopIfTrue="1">
      <formula>F9="Water"</formula>
    </cfRule>
    <cfRule type="expression" dxfId="4603" priority="903" stopIfTrue="1">
      <formula>G19="Water"</formula>
    </cfRule>
    <cfRule type="expression" dxfId="4602" priority="904" stopIfTrue="1">
      <formula>G19="Land"</formula>
    </cfRule>
    <cfRule type="expression" dxfId="4601" priority="905" stopIfTrue="1">
      <formula>F9="Land"</formula>
    </cfRule>
  </conditionalFormatting>
  <conditionalFormatting sqref="F9:F18">
    <cfRule type="expression" dxfId="4600" priority="900" stopIfTrue="1">
      <formula>F9="Water"</formula>
    </cfRule>
    <cfRule type="expression" dxfId="4599" priority="901" stopIfTrue="1">
      <formula>F9="Land"</formula>
    </cfRule>
  </conditionalFormatting>
  <conditionalFormatting sqref="Q9:Q18">
    <cfRule type="expression" dxfId="4598" priority="898" stopIfTrue="1">
      <formula>Q9="Water"</formula>
    </cfRule>
    <cfRule type="expression" dxfId="4597" priority="899" stopIfTrue="1">
      <formula>Q9="Land"</formula>
    </cfRule>
  </conditionalFormatting>
  <conditionalFormatting sqref="Q8">
    <cfRule type="expression" dxfId="4596" priority="894" stopIfTrue="1">
      <formula>Q9="Water"</formula>
    </cfRule>
    <cfRule type="expression" dxfId="4595" priority="895" stopIfTrue="1">
      <formula>G8="Water"</formula>
    </cfRule>
    <cfRule type="expression" dxfId="4594" priority="896" stopIfTrue="1">
      <formula>G8="Land"</formula>
    </cfRule>
    <cfRule type="expression" dxfId="4593" priority="897" stopIfTrue="1">
      <formula>Q9="Land"</formula>
    </cfRule>
  </conditionalFormatting>
  <conditionalFormatting sqref="F8">
    <cfRule type="expression" dxfId="4592" priority="890" stopIfTrue="1">
      <formula>G8="Water"</formula>
    </cfRule>
    <cfRule type="expression" dxfId="4591" priority="891" stopIfTrue="1">
      <formula>F9="Water"</formula>
    </cfRule>
    <cfRule type="expression" dxfId="4590" priority="892" stopIfTrue="1">
      <formula>G8="Land"</formula>
    </cfRule>
    <cfRule type="expression" dxfId="4589" priority="893" stopIfTrue="1">
      <formula>F9="Land"</formula>
    </cfRule>
  </conditionalFormatting>
  <conditionalFormatting sqref="H10:O17">
    <cfRule type="expression" dxfId="4588" priority="889">
      <formula>H10&lt;&gt;""</formula>
    </cfRule>
  </conditionalFormatting>
  <conditionalFormatting sqref="U9:AB9">
    <cfRule type="expression" dxfId="4587" priority="888">
      <formula>U9="City Wall"</formula>
    </cfRule>
  </conditionalFormatting>
  <conditionalFormatting sqref="U18:AB18">
    <cfRule type="expression" dxfId="4586" priority="887">
      <formula>U18="City Wall"</formula>
    </cfRule>
  </conditionalFormatting>
  <conditionalFormatting sqref="T10:T17">
    <cfRule type="expression" dxfId="4585" priority="886">
      <formula>T10="City Wall"</formula>
    </cfRule>
  </conditionalFormatting>
  <conditionalFormatting sqref="AC10:AC17">
    <cfRule type="expression" dxfId="4584" priority="885">
      <formula>AC10="City Wall"</formula>
    </cfRule>
  </conditionalFormatting>
  <conditionalFormatting sqref="T9">
    <cfRule type="expression" dxfId="4583" priority="883">
      <formula>T10="City Wall"</formula>
    </cfRule>
    <cfRule type="expression" dxfId="4582" priority="884">
      <formula>U9="City Wall"</formula>
    </cfRule>
  </conditionalFormatting>
  <conditionalFormatting sqref="AC9">
    <cfRule type="expression" dxfId="4581" priority="881">
      <formula>AC10="City Wall"</formula>
    </cfRule>
    <cfRule type="expression" dxfId="4580" priority="882">
      <formula>U9="City Wall"</formula>
    </cfRule>
  </conditionalFormatting>
  <conditionalFormatting sqref="AC18">
    <cfRule type="expression" dxfId="4579" priority="879">
      <formula>U18="City Wall"</formula>
    </cfRule>
    <cfRule type="expression" dxfId="4578" priority="880">
      <formula>AC10="City Wall"</formula>
    </cfRule>
  </conditionalFormatting>
  <conditionalFormatting sqref="T18">
    <cfRule type="expression" dxfId="4577" priority="877">
      <formula>T10="City Wall"</formula>
    </cfRule>
    <cfRule type="expression" dxfId="4576" priority="878">
      <formula>U18="City Wall"</formula>
    </cfRule>
  </conditionalFormatting>
  <conditionalFormatting sqref="T19:AC19">
    <cfRule type="expression" dxfId="4575" priority="875">
      <formula>T19="Land"</formula>
    </cfRule>
    <cfRule type="expression" dxfId="4574" priority="876">
      <formula>T19="Water"</formula>
    </cfRule>
  </conditionalFormatting>
  <conditionalFormatting sqref="AD19">
    <cfRule type="expression" dxfId="4573" priority="871" stopIfTrue="1">
      <formula>AD9="Water"</formula>
    </cfRule>
    <cfRule type="expression" dxfId="4572" priority="872" stopIfTrue="1">
      <formula>T19="Water"</formula>
    </cfRule>
    <cfRule type="expression" dxfId="4571" priority="873" stopIfTrue="1">
      <formula>T19="Land"</formula>
    </cfRule>
    <cfRule type="expression" dxfId="4570" priority="874" stopIfTrue="1">
      <formula>AD9="Land"</formula>
    </cfRule>
  </conditionalFormatting>
  <conditionalFormatting sqref="T8:AC8">
    <cfRule type="expression" dxfId="4569" priority="869" stopIfTrue="1">
      <formula>T8="Water"</formula>
    </cfRule>
    <cfRule type="expression" dxfId="4568" priority="870" stopIfTrue="1">
      <formula>T8="Land"</formula>
    </cfRule>
  </conditionalFormatting>
  <conditionalFormatting sqref="S19">
    <cfRule type="expression" dxfId="4567" priority="865" stopIfTrue="1">
      <formula>S9="Water"</formula>
    </cfRule>
    <cfRule type="expression" dxfId="4566" priority="866" stopIfTrue="1">
      <formula>T19="Water"</formula>
    </cfRule>
    <cfRule type="expression" dxfId="4565" priority="867" stopIfTrue="1">
      <formula>T19="Land"</formula>
    </cfRule>
    <cfRule type="expression" dxfId="4564" priority="868" stopIfTrue="1">
      <formula>S9="Land"</formula>
    </cfRule>
  </conditionalFormatting>
  <conditionalFormatting sqref="S9:S18">
    <cfRule type="expression" dxfId="4563" priority="863" stopIfTrue="1">
      <formula>S9="Water"</formula>
    </cfRule>
    <cfRule type="expression" dxfId="4562" priority="864" stopIfTrue="1">
      <formula>S9="Land"</formula>
    </cfRule>
  </conditionalFormatting>
  <conditionalFormatting sqref="AD9:AD18">
    <cfRule type="expression" dxfId="4561" priority="861" stopIfTrue="1">
      <formula>AD9="Water"</formula>
    </cfRule>
    <cfRule type="expression" dxfId="4560" priority="862" stopIfTrue="1">
      <formula>AD9="Land"</formula>
    </cfRule>
  </conditionalFormatting>
  <conditionalFormatting sqref="AD8">
    <cfRule type="expression" dxfId="4559" priority="857" stopIfTrue="1">
      <formula>AD9="Water"</formula>
    </cfRule>
    <cfRule type="expression" dxfId="4558" priority="858" stopIfTrue="1">
      <formula>T8="Water"</formula>
    </cfRule>
    <cfRule type="expression" dxfId="4557" priority="859" stopIfTrue="1">
      <formula>T8="Land"</formula>
    </cfRule>
    <cfRule type="expression" dxfId="4556" priority="860" stopIfTrue="1">
      <formula>AD9="Land"</formula>
    </cfRule>
  </conditionalFormatting>
  <conditionalFormatting sqref="S8">
    <cfRule type="expression" dxfId="4555" priority="853" stopIfTrue="1">
      <formula>T8="Water"</formula>
    </cfRule>
    <cfRule type="expression" dxfId="4554" priority="854" stopIfTrue="1">
      <formula>S9="Water"</formula>
    </cfRule>
    <cfRule type="expression" dxfId="4553" priority="855" stopIfTrue="1">
      <formula>T8="Land"</formula>
    </cfRule>
    <cfRule type="expression" dxfId="4552" priority="856" stopIfTrue="1">
      <formula>S9="Land"</formula>
    </cfRule>
  </conditionalFormatting>
  <conditionalFormatting sqref="U10:AB17">
    <cfRule type="expression" dxfId="4551" priority="852">
      <formula>U10&lt;&gt;""</formula>
    </cfRule>
  </conditionalFormatting>
  <conditionalFormatting sqref="AH9:AO9">
    <cfRule type="expression" dxfId="4550" priority="851">
      <formula>AH9="City Wall"</formula>
    </cfRule>
  </conditionalFormatting>
  <conditionalFormatting sqref="AH18:AO18">
    <cfRule type="expression" dxfId="4549" priority="850">
      <formula>AH18="City Wall"</formula>
    </cfRule>
  </conditionalFormatting>
  <conditionalFormatting sqref="AG10:AG17">
    <cfRule type="expression" dxfId="4548" priority="849">
      <formula>AG10="City Wall"</formula>
    </cfRule>
  </conditionalFormatting>
  <conditionalFormatting sqref="AP10:AP17">
    <cfRule type="expression" dxfId="4547" priority="848">
      <formula>AP10="City Wall"</formula>
    </cfRule>
  </conditionalFormatting>
  <conditionalFormatting sqref="AG9">
    <cfRule type="expression" dxfId="4546" priority="846">
      <formula>AG10="City Wall"</formula>
    </cfRule>
    <cfRule type="expression" dxfId="4545" priority="847">
      <formula>AH9="City Wall"</formula>
    </cfRule>
  </conditionalFormatting>
  <conditionalFormatting sqref="AP9">
    <cfRule type="expression" dxfId="4544" priority="844">
      <formula>AP10="City Wall"</formula>
    </cfRule>
    <cfRule type="expression" dxfId="4543" priority="845">
      <formula>AH9="City Wall"</formula>
    </cfRule>
  </conditionalFormatting>
  <conditionalFormatting sqref="AP18">
    <cfRule type="expression" dxfId="4542" priority="842">
      <formula>AH18="City Wall"</formula>
    </cfRule>
    <cfRule type="expression" dxfId="4541" priority="843">
      <formula>AP10="City Wall"</formula>
    </cfRule>
  </conditionalFormatting>
  <conditionalFormatting sqref="AG18">
    <cfRule type="expression" dxfId="4540" priority="840">
      <formula>AG10="City Wall"</formula>
    </cfRule>
    <cfRule type="expression" dxfId="4539" priority="841">
      <formula>AH18="City Wall"</formula>
    </cfRule>
  </conditionalFormatting>
  <conditionalFormatting sqref="AG19:AP19">
    <cfRule type="expression" dxfId="4538" priority="838">
      <formula>AG19="Land"</formula>
    </cfRule>
    <cfRule type="expression" dxfId="4537" priority="839">
      <formula>AG19="Water"</formula>
    </cfRule>
  </conditionalFormatting>
  <conditionalFormatting sqref="AQ19">
    <cfRule type="expression" dxfId="4536" priority="834" stopIfTrue="1">
      <formula>AQ9="Water"</formula>
    </cfRule>
    <cfRule type="expression" dxfId="4535" priority="835" stopIfTrue="1">
      <formula>AG19="Water"</formula>
    </cfRule>
    <cfRule type="expression" dxfId="4534" priority="836" stopIfTrue="1">
      <formula>AG19="Land"</formula>
    </cfRule>
    <cfRule type="expression" dxfId="4533" priority="837" stopIfTrue="1">
      <formula>AQ9="Land"</formula>
    </cfRule>
  </conditionalFormatting>
  <conditionalFormatting sqref="AG8:AP8">
    <cfRule type="expression" dxfId="4532" priority="832" stopIfTrue="1">
      <formula>AG8="Water"</formula>
    </cfRule>
    <cfRule type="expression" dxfId="4531" priority="833" stopIfTrue="1">
      <formula>AG8="Land"</formula>
    </cfRule>
  </conditionalFormatting>
  <conditionalFormatting sqref="AF19">
    <cfRule type="expression" dxfId="4530" priority="828" stopIfTrue="1">
      <formula>AF9="Water"</formula>
    </cfRule>
    <cfRule type="expression" dxfId="4529" priority="829" stopIfTrue="1">
      <formula>AG19="Water"</formula>
    </cfRule>
    <cfRule type="expression" dxfId="4528" priority="830" stopIfTrue="1">
      <formula>AG19="Land"</formula>
    </cfRule>
    <cfRule type="expression" dxfId="4527" priority="831" stopIfTrue="1">
      <formula>AF9="Land"</formula>
    </cfRule>
  </conditionalFormatting>
  <conditionalFormatting sqref="AF9:AF18">
    <cfRule type="expression" dxfId="4526" priority="826" stopIfTrue="1">
      <formula>AF9="Water"</formula>
    </cfRule>
    <cfRule type="expression" dxfId="4525" priority="827" stopIfTrue="1">
      <formula>AF9="Land"</formula>
    </cfRule>
  </conditionalFormatting>
  <conditionalFormatting sqref="AQ9:AQ18">
    <cfRule type="expression" dxfId="4524" priority="824" stopIfTrue="1">
      <formula>AQ9="Water"</formula>
    </cfRule>
    <cfRule type="expression" dxfId="4523" priority="825" stopIfTrue="1">
      <formula>AQ9="Land"</formula>
    </cfRule>
  </conditionalFormatting>
  <conditionalFormatting sqref="AQ8">
    <cfRule type="expression" dxfId="4522" priority="820" stopIfTrue="1">
      <formula>AQ9="Water"</formula>
    </cfRule>
    <cfRule type="expression" dxfId="4521" priority="821" stopIfTrue="1">
      <formula>AG8="Water"</formula>
    </cfRule>
    <cfRule type="expression" dxfId="4520" priority="822" stopIfTrue="1">
      <formula>AG8="Land"</formula>
    </cfRule>
    <cfRule type="expression" dxfId="4519" priority="823" stopIfTrue="1">
      <formula>AQ9="Land"</formula>
    </cfRule>
  </conditionalFormatting>
  <conditionalFormatting sqref="AF8">
    <cfRule type="expression" dxfId="4518" priority="816" stopIfTrue="1">
      <formula>AG8="Water"</formula>
    </cfRule>
    <cfRule type="expression" dxfId="4517" priority="817" stopIfTrue="1">
      <formula>AF9="Water"</formula>
    </cfRule>
    <cfRule type="expression" dxfId="4516" priority="818" stopIfTrue="1">
      <formula>AG8="Land"</formula>
    </cfRule>
    <cfRule type="expression" dxfId="4515" priority="819" stopIfTrue="1">
      <formula>AF9="Land"</formula>
    </cfRule>
  </conditionalFormatting>
  <conditionalFormatting sqref="AH10:AO17">
    <cfRule type="expression" dxfId="4514" priority="815">
      <formula>AH10&lt;&gt;""</formula>
    </cfRule>
  </conditionalFormatting>
  <conditionalFormatting sqref="H22:O22">
    <cfRule type="expression" dxfId="4513" priority="814">
      <formula>H22="City Wall"</formula>
    </cfRule>
  </conditionalFormatting>
  <conditionalFormatting sqref="H31:O31">
    <cfRule type="expression" dxfId="4512" priority="813">
      <formula>H31="City Wall"</formula>
    </cfRule>
  </conditionalFormatting>
  <conditionalFormatting sqref="G23:G30">
    <cfRule type="expression" dxfId="4511" priority="812">
      <formula>G23="City Wall"</formula>
    </cfRule>
  </conditionalFormatting>
  <conditionalFormatting sqref="P23:P30">
    <cfRule type="expression" dxfId="4510" priority="811">
      <formula>P23="City Wall"</formula>
    </cfRule>
  </conditionalFormatting>
  <conditionalFormatting sqref="G22">
    <cfRule type="expression" dxfId="4509" priority="809">
      <formula>G23="City Wall"</formula>
    </cfRule>
    <cfRule type="expression" dxfId="4508" priority="810">
      <formula>H22="City Wall"</formula>
    </cfRule>
  </conditionalFormatting>
  <conditionalFormatting sqref="P22">
    <cfRule type="expression" dxfId="4507" priority="807">
      <formula>P23="City Wall"</formula>
    </cfRule>
    <cfRule type="expression" dxfId="4506" priority="808">
      <formula>H22="City Wall"</formula>
    </cfRule>
  </conditionalFormatting>
  <conditionalFormatting sqref="P31">
    <cfRule type="expression" dxfId="4505" priority="805">
      <formula>H31="City Wall"</formula>
    </cfRule>
    <cfRule type="expression" dxfId="4504" priority="806">
      <formula>P23="City Wall"</formula>
    </cfRule>
  </conditionalFormatting>
  <conditionalFormatting sqref="G31">
    <cfRule type="expression" dxfId="4503" priority="803">
      <formula>G23="City Wall"</formula>
    </cfRule>
    <cfRule type="expression" dxfId="4502" priority="804">
      <formula>H31="City Wall"</formula>
    </cfRule>
  </conditionalFormatting>
  <conditionalFormatting sqref="G32:P32">
    <cfRule type="expression" dxfId="4501" priority="801">
      <formula>G32="Land"</formula>
    </cfRule>
    <cfRule type="expression" dxfId="4500" priority="802">
      <formula>G32="Water"</formula>
    </cfRule>
  </conditionalFormatting>
  <conditionalFormatting sqref="Q32">
    <cfRule type="expression" dxfId="4499" priority="797" stopIfTrue="1">
      <formula>Q22="Water"</formula>
    </cfRule>
    <cfRule type="expression" dxfId="4498" priority="798" stopIfTrue="1">
      <formula>G32="Water"</formula>
    </cfRule>
    <cfRule type="expression" dxfId="4497" priority="799" stopIfTrue="1">
      <formula>G32="Land"</formula>
    </cfRule>
    <cfRule type="expression" dxfId="4496" priority="800" stopIfTrue="1">
      <formula>Q22="Land"</formula>
    </cfRule>
  </conditionalFormatting>
  <conditionalFormatting sqref="G21:P21">
    <cfRule type="expression" dxfId="4495" priority="795" stopIfTrue="1">
      <formula>G21="Water"</formula>
    </cfRule>
    <cfRule type="expression" dxfId="4494" priority="796" stopIfTrue="1">
      <formula>G21="Land"</formula>
    </cfRule>
  </conditionalFormatting>
  <conditionalFormatting sqref="F32">
    <cfRule type="expression" dxfId="4493" priority="791" stopIfTrue="1">
      <formula>F22="Water"</formula>
    </cfRule>
    <cfRule type="expression" dxfId="4492" priority="792" stopIfTrue="1">
      <formula>G32="Water"</formula>
    </cfRule>
    <cfRule type="expression" dxfId="4491" priority="793" stopIfTrue="1">
      <formula>G32="Land"</formula>
    </cfRule>
    <cfRule type="expression" dxfId="4490" priority="794" stopIfTrue="1">
      <formula>F22="Land"</formula>
    </cfRule>
  </conditionalFormatting>
  <conditionalFormatting sqref="F22:F31">
    <cfRule type="expression" dxfId="4489" priority="789" stopIfTrue="1">
      <formula>F22="Water"</formula>
    </cfRule>
    <cfRule type="expression" dxfId="4488" priority="790" stopIfTrue="1">
      <formula>F22="Land"</formula>
    </cfRule>
  </conditionalFormatting>
  <conditionalFormatting sqref="Q22:Q31">
    <cfRule type="expression" dxfId="4487" priority="787" stopIfTrue="1">
      <formula>Q22="Water"</formula>
    </cfRule>
    <cfRule type="expression" dxfId="4486" priority="788" stopIfTrue="1">
      <formula>Q22="Land"</formula>
    </cfRule>
  </conditionalFormatting>
  <conditionalFormatting sqref="Q21">
    <cfRule type="expression" dxfId="4485" priority="783" stopIfTrue="1">
      <formula>Q22="Water"</formula>
    </cfRule>
    <cfRule type="expression" dxfId="4484" priority="784" stopIfTrue="1">
      <formula>G21="Water"</formula>
    </cfRule>
    <cfRule type="expression" dxfId="4483" priority="785" stopIfTrue="1">
      <formula>G21="Land"</formula>
    </cfRule>
    <cfRule type="expression" dxfId="4482" priority="786" stopIfTrue="1">
      <formula>Q22="Land"</formula>
    </cfRule>
  </conditionalFormatting>
  <conditionalFormatting sqref="F21">
    <cfRule type="expression" dxfId="4481" priority="779" stopIfTrue="1">
      <formula>G21="Water"</formula>
    </cfRule>
    <cfRule type="expression" dxfId="4480" priority="780" stopIfTrue="1">
      <formula>F22="Water"</formula>
    </cfRule>
    <cfRule type="expression" dxfId="4479" priority="781" stopIfTrue="1">
      <formula>G21="Land"</formula>
    </cfRule>
    <cfRule type="expression" dxfId="4478" priority="782" stopIfTrue="1">
      <formula>F22="Land"</formula>
    </cfRule>
  </conditionalFormatting>
  <conditionalFormatting sqref="H23:O30">
    <cfRule type="expression" dxfId="4477" priority="778">
      <formula>H23&lt;&gt;""</formula>
    </cfRule>
  </conditionalFormatting>
  <conditionalFormatting sqref="U22:AB22">
    <cfRule type="expression" dxfId="4476" priority="777">
      <formula>U22="City Wall"</formula>
    </cfRule>
  </conditionalFormatting>
  <conditionalFormatting sqref="U31:AB31">
    <cfRule type="expression" dxfId="4475" priority="776">
      <formula>U31="City Wall"</formula>
    </cfRule>
  </conditionalFormatting>
  <conditionalFormatting sqref="T23:T30">
    <cfRule type="expression" dxfId="4474" priority="775">
      <formula>T23="City Wall"</formula>
    </cfRule>
  </conditionalFormatting>
  <conditionalFormatting sqref="AC23:AC30">
    <cfRule type="expression" dxfId="4473" priority="774">
      <formula>AC23="City Wall"</formula>
    </cfRule>
  </conditionalFormatting>
  <conditionalFormatting sqref="T22">
    <cfRule type="expression" dxfId="4472" priority="772">
      <formula>T23="City Wall"</formula>
    </cfRule>
    <cfRule type="expression" dxfId="4471" priority="773">
      <formula>U22="City Wall"</formula>
    </cfRule>
  </conditionalFormatting>
  <conditionalFormatting sqref="AC22">
    <cfRule type="expression" dxfId="4470" priority="770">
      <formula>AC23="City Wall"</formula>
    </cfRule>
    <cfRule type="expression" dxfId="4469" priority="771">
      <formula>U22="City Wall"</formula>
    </cfRule>
  </conditionalFormatting>
  <conditionalFormatting sqref="AC31">
    <cfRule type="expression" dxfId="4468" priority="768">
      <formula>U31="City Wall"</formula>
    </cfRule>
    <cfRule type="expression" dxfId="4467" priority="769">
      <formula>AC23="City Wall"</formula>
    </cfRule>
  </conditionalFormatting>
  <conditionalFormatting sqref="T31">
    <cfRule type="expression" dxfId="4466" priority="766">
      <formula>T23="City Wall"</formula>
    </cfRule>
    <cfRule type="expression" dxfId="4465" priority="767">
      <formula>U31="City Wall"</formula>
    </cfRule>
  </conditionalFormatting>
  <conditionalFormatting sqref="T32:AC32">
    <cfRule type="expression" dxfId="4464" priority="764">
      <formula>T32="Land"</formula>
    </cfRule>
    <cfRule type="expression" dxfId="4463" priority="765">
      <formula>T32="Water"</formula>
    </cfRule>
  </conditionalFormatting>
  <conditionalFormatting sqref="AD32">
    <cfRule type="expression" dxfId="4462" priority="760" stopIfTrue="1">
      <formula>AD22="Water"</formula>
    </cfRule>
    <cfRule type="expression" dxfId="4461" priority="761" stopIfTrue="1">
      <formula>T32="Water"</formula>
    </cfRule>
    <cfRule type="expression" dxfId="4460" priority="762" stopIfTrue="1">
      <formula>T32="Land"</formula>
    </cfRule>
    <cfRule type="expression" dxfId="4459" priority="763" stopIfTrue="1">
      <formula>AD22="Land"</formula>
    </cfRule>
  </conditionalFormatting>
  <conditionalFormatting sqref="T21:AC21">
    <cfRule type="expression" dxfId="4458" priority="758" stopIfTrue="1">
      <formula>T21="Water"</formula>
    </cfRule>
    <cfRule type="expression" dxfId="4457" priority="759" stopIfTrue="1">
      <formula>T21="Land"</formula>
    </cfRule>
  </conditionalFormatting>
  <conditionalFormatting sqref="S32">
    <cfRule type="expression" dxfId="4456" priority="754" stopIfTrue="1">
      <formula>S22="Water"</formula>
    </cfRule>
    <cfRule type="expression" dxfId="4455" priority="755" stopIfTrue="1">
      <formula>T32="Water"</formula>
    </cfRule>
    <cfRule type="expression" dxfId="4454" priority="756" stopIfTrue="1">
      <formula>T32="Land"</formula>
    </cfRule>
    <cfRule type="expression" dxfId="4453" priority="757" stopIfTrue="1">
      <formula>S22="Land"</formula>
    </cfRule>
  </conditionalFormatting>
  <conditionalFormatting sqref="S22:S31">
    <cfRule type="expression" dxfId="4452" priority="752" stopIfTrue="1">
      <formula>S22="Water"</formula>
    </cfRule>
    <cfRule type="expression" dxfId="4451" priority="753" stopIfTrue="1">
      <formula>S22="Land"</formula>
    </cfRule>
  </conditionalFormatting>
  <conditionalFormatting sqref="AD22:AD31">
    <cfRule type="expression" dxfId="4450" priority="750" stopIfTrue="1">
      <formula>AD22="Water"</formula>
    </cfRule>
    <cfRule type="expression" dxfId="4449" priority="751" stopIfTrue="1">
      <formula>AD22="Land"</formula>
    </cfRule>
  </conditionalFormatting>
  <conditionalFormatting sqref="AD21">
    <cfRule type="expression" dxfId="4448" priority="746" stopIfTrue="1">
      <formula>AD22="Water"</formula>
    </cfRule>
    <cfRule type="expression" dxfId="4447" priority="747" stopIfTrue="1">
      <formula>T21="Water"</formula>
    </cfRule>
    <cfRule type="expression" dxfId="4446" priority="748" stopIfTrue="1">
      <formula>T21="Land"</formula>
    </cfRule>
    <cfRule type="expression" dxfId="4445" priority="749" stopIfTrue="1">
      <formula>AD22="Land"</formula>
    </cfRule>
  </conditionalFormatting>
  <conditionalFormatting sqref="S21">
    <cfRule type="expression" dxfId="4444" priority="742" stopIfTrue="1">
      <formula>T21="Water"</formula>
    </cfRule>
    <cfRule type="expression" dxfId="4443" priority="743" stopIfTrue="1">
      <formula>S22="Water"</formula>
    </cfRule>
    <cfRule type="expression" dxfId="4442" priority="744" stopIfTrue="1">
      <formula>T21="Land"</formula>
    </cfRule>
    <cfRule type="expression" dxfId="4441" priority="745" stopIfTrue="1">
      <formula>S22="Land"</formula>
    </cfRule>
  </conditionalFormatting>
  <conditionalFormatting sqref="U23:AB30">
    <cfRule type="expression" dxfId="4440" priority="741">
      <formula>U23&lt;&gt;""</formula>
    </cfRule>
  </conditionalFormatting>
  <conditionalFormatting sqref="AH22:AO22">
    <cfRule type="expression" dxfId="4439" priority="740">
      <formula>AH22="City Wall"</formula>
    </cfRule>
  </conditionalFormatting>
  <conditionalFormatting sqref="AH31:AO31">
    <cfRule type="expression" dxfId="4438" priority="739">
      <formula>AH31="City Wall"</formula>
    </cfRule>
  </conditionalFormatting>
  <conditionalFormatting sqref="AG23:AG30">
    <cfRule type="expression" dxfId="4437" priority="738">
      <formula>AG23="City Wall"</formula>
    </cfRule>
  </conditionalFormatting>
  <conditionalFormatting sqref="AP23:AP30">
    <cfRule type="expression" dxfId="4436" priority="737">
      <formula>AP23="City Wall"</formula>
    </cfRule>
  </conditionalFormatting>
  <conditionalFormatting sqref="AG22">
    <cfRule type="expression" dxfId="4435" priority="735">
      <formula>AG23="City Wall"</formula>
    </cfRule>
    <cfRule type="expression" dxfId="4434" priority="736">
      <formula>AH22="City Wall"</formula>
    </cfRule>
  </conditionalFormatting>
  <conditionalFormatting sqref="AP22">
    <cfRule type="expression" dxfId="4433" priority="733">
      <formula>AP23="City Wall"</formula>
    </cfRule>
    <cfRule type="expression" dxfId="4432" priority="734">
      <formula>AH22="City Wall"</formula>
    </cfRule>
  </conditionalFormatting>
  <conditionalFormatting sqref="AP31">
    <cfRule type="expression" dxfId="4431" priority="731">
      <formula>AH31="City Wall"</formula>
    </cfRule>
    <cfRule type="expression" dxfId="4430" priority="732">
      <formula>AP23="City Wall"</formula>
    </cfRule>
  </conditionalFormatting>
  <conditionalFormatting sqref="AG31">
    <cfRule type="expression" dxfId="4429" priority="729">
      <formula>AG23="City Wall"</formula>
    </cfRule>
    <cfRule type="expression" dxfId="4428" priority="730">
      <formula>AH31="City Wall"</formula>
    </cfRule>
  </conditionalFormatting>
  <conditionalFormatting sqref="AG32:AP32">
    <cfRule type="expression" dxfId="4427" priority="727">
      <formula>AG32="Land"</formula>
    </cfRule>
    <cfRule type="expression" dxfId="4426" priority="728">
      <formula>AG32="Water"</formula>
    </cfRule>
  </conditionalFormatting>
  <conditionalFormatting sqref="AQ32">
    <cfRule type="expression" dxfId="4425" priority="723" stopIfTrue="1">
      <formula>AQ22="Water"</formula>
    </cfRule>
    <cfRule type="expression" dxfId="4424" priority="724" stopIfTrue="1">
      <formula>AG32="Water"</formula>
    </cfRule>
    <cfRule type="expression" dxfId="4423" priority="725" stopIfTrue="1">
      <formula>AG32="Land"</formula>
    </cfRule>
    <cfRule type="expression" dxfId="4422" priority="726" stopIfTrue="1">
      <formula>AQ22="Land"</formula>
    </cfRule>
  </conditionalFormatting>
  <conditionalFormatting sqref="AG21:AP21">
    <cfRule type="expression" dxfId="4421" priority="721" stopIfTrue="1">
      <formula>AG21="Water"</formula>
    </cfRule>
    <cfRule type="expression" dxfId="4420" priority="722" stopIfTrue="1">
      <formula>AG21="Land"</formula>
    </cfRule>
  </conditionalFormatting>
  <conditionalFormatting sqref="AF32">
    <cfRule type="expression" dxfId="4419" priority="717" stopIfTrue="1">
      <formula>AF22="Water"</formula>
    </cfRule>
    <cfRule type="expression" dxfId="4418" priority="718" stopIfTrue="1">
      <formula>AG32="Water"</formula>
    </cfRule>
    <cfRule type="expression" dxfId="4417" priority="719" stopIfTrue="1">
      <formula>AG32="Land"</formula>
    </cfRule>
    <cfRule type="expression" dxfId="4416" priority="720" stopIfTrue="1">
      <formula>AF22="Land"</formula>
    </cfRule>
  </conditionalFormatting>
  <conditionalFormatting sqref="AF22:AF31">
    <cfRule type="expression" dxfId="4415" priority="715" stopIfTrue="1">
      <formula>AF22="Water"</formula>
    </cfRule>
    <cfRule type="expression" dxfId="4414" priority="716" stopIfTrue="1">
      <formula>AF22="Land"</formula>
    </cfRule>
  </conditionalFormatting>
  <conditionalFormatting sqref="AQ22:AQ31">
    <cfRule type="expression" dxfId="4413" priority="713" stopIfTrue="1">
      <formula>AQ22="Water"</formula>
    </cfRule>
    <cfRule type="expression" dxfId="4412" priority="714" stopIfTrue="1">
      <formula>AQ22="Land"</formula>
    </cfRule>
  </conditionalFormatting>
  <conditionalFormatting sqref="AQ21">
    <cfRule type="expression" dxfId="4411" priority="709" stopIfTrue="1">
      <formula>AQ22="Water"</formula>
    </cfRule>
    <cfRule type="expression" dxfId="4410" priority="710" stopIfTrue="1">
      <formula>AG21="Water"</formula>
    </cfRule>
    <cfRule type="expression" dxfId="4409" priority="711" stopIfTrue="1">
      <formula>AG21="Land"</formula>
    </cfRule>
    <cfRule type="expression" dxfId="4408" priority="712" stopIfTrue="1">
      <formula>AQ22="Land"</formula>
    </cfRule>
  </conditionalFormatting>
  <conditionalFormatting sqref="AF21">
    <cfRule type="expression" dxfId="4407" priority="705" stopIfTrue="1">
      <formula>AG21="Water"</formula>
    </cfRule>
    <cfRule type="expression" dxfId="4406" priority="706" stopIfTrue="1">
      <formula>AF22="Water"</formula>
    </cfRule>
    <cfRule type="expression" dxfId="4405" priority="707" stopIfTrue="1">
      <formula>AG21="Land"</formula>
    </cfRule>
    <cfRule type="expression" dxfId="4404" priority="708" stopIfTrue="1">
      <formula>AF22="Land"</formula>
    </cfRule>
  </conditionalFormatting>
  <conditionalFormatting sqref="AH23:AO30">
    <cfRule type="expression" dxfId="4403" priority="704">
      <formula>AH23&lt;&gt;""</formula>
    </cfRule>
  </conditionalFormatting>
  <conditionalFormatting sqref="H35:O35">
    <cfRule type="expression" dxfId="4402" priority="703">
      <formula>H35="City Wall"</formula>
    </cfRule>
  </conditionalFormatting>
  <conditionalFormatting sqref="H44:O44">
    <cfRule type="expression" dxfId="4401" priority="702">
      <formula>H44="City Wall"</formula>
    </cfRule>
  </conditionalFormatting>
  <conditionalFormatting sqref="G36:G43">
    <cfRule type="expression" dxfId="4400" priority="701">
      <formula>G36="City Wall"</formula>
    </cfRule>
  </conditionalFormatting>
  <conditionalFormatting sqref="P36:P43">
    <cfRule type="expression" dxfId="4399" priority="700">
      <formula>P36="City Wall"</formula>
    </cfRule>
  </conditionalFormatting>
  <conditionalFormatting sqref="G35">
    <cfRule type="expression" dxfId="4398" priority="698">
      <formula>G36="City Wall"</formula>
    </cfRule>
    <cfRule type="expression" dxfId="4397" priority="699">
      <formula>H35="City Wall"</formula>
    </cfRule>
  </conditionalFormatting>
  <conditionalFormatting sqref="P35">
    <cfRule type="expression" dxfId="4396" priority="696">
      <formula>P36="City Wall"</formula>
    </cfRule>
    <cfRule type="expression" dxfId="4395" priority="697">
      <formula>H35="City Wall"</formula>
    </cfRule>
  </conditionalFormatting>
  <conditionalFormatting sqref="P44">
    <cfRule type="expression" dxfId="4394" priority="694">
      <formula>H44="City Wall"</formula>
    </cfRule>
    <cfRule type="expression" dxfId="4393" priority="695">
      <formula>P36="City Wall"</formula>
    </cfRule>
  </conditionalFormatting>
  <conditionalFormatting sqref="G44">
    <cfRule type="expression" dxfId="4392" priority="692">
      <formula>G36="City Wall"</formula>
    </cfRule>
    <cfRule type="expression" dxfId="4391" priority="693">
      <formula>H44="City Wall"</formula>
    </cfRule>
  </conditionalFormatting>
  <conditionalFormatting sqref="G45:P45">
    <cfRule type="expression" dxfId="4390" priority="690">
      <formula>G45="Land"</formula>
    </cfRule>
    <cfRule type="expression" dxfId="4389" priority="691">
      <formula>G45="Water"</formula>
    </cfRule>
  </conditionalFormatting>
  <conditionalFormatting sqref="Q45">
    <cfRule type="expression" dxfId="4388" priority="686" stopIfTrue="1">
      <formula>Q35="Water"</formula>
    </cfRule>
    <cfRule type="expression" dxfId="4387" priority="687" stopIfTrue="1">
      <formula>G45="Water"</formula>
    </cfRule>
    <cfRule type="expression" dxfId="4386" priority="688" stopIfTrue="1">
      <formula>G45="Land"</formula>
    </cfRule>
    <cfRule type="expression" dxfId="4385" priority="689" stopIfTrue="1">
      <formula>Q35="Land"</formula>
    </cfRule>
  </conditionalFormatting>
  <conditionalFormatting sqref="G34:P34">
    <cfRule type="expression" dxfId="4384" priority="684" stopIfTrue="1">
      <formula>G34="Water"</formula>
    </cfRule>
    <cfRule type="expression" dxfId="4383" priority="685" stopIfTrue="1">
      <formula>G34="Land"</formula>
    </cfRule>
  </conditionalFormatting>
  <conditionalFormatting sqref="F45">
    <cfRule type="expression" dxfId="4382" priority="680" stopIfTrue="1">
      <formula>F35="Water"</formula>
    </cfRule>
    <cfRule type="expression" dxfId="4381" priority="681" stopIfTrue="1">
      <formula>G45="Water"</formula>
    </cfRule>
    <cfRule type="expression" dxfId="4380" priority="682" stopIfTrue="1">
      <formula>G45="Land"</formula>
    </cfRule>
    <cfRule type="expression" dxfId="4379" priority="683" stopIfTrue="1">
      <formula>F35="Land"</formula>
    </cfRule>
  </conditionalFormatting>
  <conditionalFormatting sqref="F35:F44">
    <cfRule type="expression" dxfId="4378" priority="678" stopIfTrue="1">
      <formula>F35="Water"</formula>
    </cfRule>
    <cfRule type="expression" dxfId="4377" priority="679" stopIfTrue="1">
      <formula>F35="Land"</formula>
    </cfRule>
  </conditionalFormatting>
  <conditionalFormatting sqref="Q35:Q44">
    <cfRule type="expression" dxfId="4376" priority="676" stopIfTrue="1">
      <formula>Q35="Water"</formula>
    </cfRule>
    <cfRule type="expression" dxfId="4375" priority="677" stopIfTrue="1">
      <formula>Q35="Land"</formula>
    </cfRule>
  </conditionalFormatting>
  <conditionalFormatting sqref="Q34">
    <cfRule type="expression" dxfId="4374" priority="672" stopIfTrue="1">
      <formula>Q35="Water"</formula>
    </cfRule>
    <cfRule type="expression" dxfId="4373" priority="673" stopIfTrue="1">
      <formula>G34="Water"</formula>
    </cfRule>
    <cfRule type="expression" dxfId="4372" priority="674" stopIfTrue="1">
      <formula>G34="Land"</formula>
    </cfRule>
    <cfRule type="expression" dxfId="4371" priority="675" stopIfTrue="1">
      <formula>Q35="Land"</formula>
    </cfRule>
  </conditionalFormatting>
  <conditionalFormatting sqref="F34">
    <cfRule type="expression" dxfId="4370" priority="668" stopIfTrue="1">
      <formula>G34="Water"</formula>
    </cfRule>
    <cfRule type="expression" dxfId="4369" priority="669" stopIfTrue="1">
      <formula>F35="Water"</formula>
    </cfRule>
    <cfRule type="expression" dxfId="4368" priority="670" stopIfTrue="1">
      <formula>G34="Land"</formula>
    </cfRule>
    <cfRule type="expression" dxfId="4367" priority="671" stopIfTrue="1">
      <formula>F35="Land"</formula>
    </cfRule>
  </conditionalFormatting>
  <conditionalFormatting sqref="H36:O43">
    <cfRule type="expression" dxfId="4366" priority="667">
      <formula>H36&lt;&gt;""</formula>
    </cfRule>
  </conditionalFormatting>
  <conditionalFormatting sqref="U35:AB35">
    <cfRule type="expression" dxfId="4365" priority="666">
      <formula>U35="City Wall"</formula>
    </cfRule>
  </conditionalFormatting>
  <conditionalFormatting sqref="U44:AB44">
    <cfRule type="expression" dxfId="4364" priority="665">
      <formula>U44="City Wall"</formula>
    </cfRule>
  </conditionalFormatting>
  <conditionalFormatting sqref="T36:T43">
    <cfRule type="expression" dxfId="4363" priority="664">
      <formula>T36="City Wall"</formula>
    </cfRule>
  </conditionalFormatting>
  <conditionalFormatting sqref="AC36:AC43">
    <cfRule type="expression" dxfId="4362" priority="663">
      <formula>AC36="City Wall"</formula>
    </cfRule>
  </conditionalFormatting>
  <conditionalFormatting sqref="T35">
    <cfRule type="expression" dxfId="4361" priority="661">
      <formula>T36="City Wall"</formula>
    </cfRule>
    <cfRule type="expression" dxfId="4360" priority="662">
      <formula>U35="City Wall"</formula>
    </cfRule>
  </conditionalFormatting>
  <conditionalFormatting sqref="AC35">
    <cfRule type="expression" dxfId="4359" priority="659">
      <formula>AC36="City Wall"</formula>
    </cfRule>
    <cfRule type="expression" dxfId="4358" priority="660">
      <formula>U35="City Wall"</formula>
    </cfRule>
  </conditionalFormatting>
  <conditionalFormatting sqref="AC44">
    <cfRule type="expression" dxfId="4357" priority="657">
      <formula>U44="City Wall"</formula>
    </cfRule>
    <cfRule type="expression" dxfId="4356" priority="658">
      <formula>AC36="City Wall"</formula>
    </cfRule>
  </conditionalFormatting>
  <conditionalFormatting sqref="T44">
    <cfRule type="expression" dxfId="4355" priority="655">
      <formula>T36="City Wall"</formula>
    </cfRule>
    <cfRule type="expression" dxfId="4354" priority="656">
      <formula>U44="City Wall"</formula>
    </cfRule>
  </conditionalFormatting>
  <conditionalFormatting sqref="T45:AC45">
    <cfRule type="expression" dxfId="4353" priority="653">
      <formula>T45="Land"</formula>
    </cfRule>
    <cfRule type="expression" dxfId="4352" priority="654">
      <formula>T45="Water"</formula>
    </cfRule>
  </conditionalFormatting>
  <conditionalFormatting sqref="AD45">
    <cfRule type="expression" dxfId="4351" priority="649" stopIfTrue="1">
      <formula>AD35="Water"</formula>
    </cfRule>
    <cfRule type="expression" dxfId="4350" priority="650" stopIfTrue="1">
      <formula>T45="Water"</formula>
    </cfRule>
    <cfRule type="expression" dxfId="4349" priority="651" stopIfTrue="1">
      <formula>T45="Land"</formula>
    </cfRule>
    <cfRule type="expression" dxfId="4348" priority="652" stopIfTrue="1">
      <formula>AD35="Land"</formula>
    </cfRule>
  </conditionalFormatting>
  <conditionalFormatting sqref="T34:AC34">
    <cfRule type="expression" dxfId="4347" priority="647" stopIfTrue="1">
      <formula>T34="Water"</formula>
    </cfRule>
    <cfRule type="expression" dxfId="4346" priority="648" stopIfTrue="1">
      <formula>T34="Land"</formula>
    </cfRule>
  </conditionalFormatting>
  <conditionalFormatting sqref="S45">
    <cfRule type="expression" dxfId="4345" priority="643" stopIfTrue="1">
      <formula>S35="Water"</formula>
    </cfRule>
    <cfRule type="expression" dxfId="4344" priority="644" stopIfTrue="1">
      <formula>T45="Water"</formula>
    </cfRule>
    <cfRule type="expression" dxfId="4343" priority="645" stopIfTrue="1">
      <formula>T45="Land"</formula>
    </cfRule>
    <cfRule type="expression" dxfId="4342" priority="646" stopIfTrue="1">
      <formula>S35="Land"</formula>
    </cfRule>
  </conditionalFormatting>
  <conditionalFormatting sqref="S35:S44">
    <cfRule type="expression" dxfId="4341" priority="641" stopIfTrue="1">
      <formula>S35="Water"</formula>
    </cfRule>
    <cfRule type="expression" dxfId="4340" priority="642" stopIfTrue="1">
      <formula>S35="Land"</formula>
    </cfRule>
  </conditionalFormatting>
  <conditionalFormatting sqref="AD35:AD44">
    <cfRule type="expression" dxfId="4339" priority="639" stopIfTrue="1">
      <formula>AD35="Water"</formula>
    </cfRule>
    <cfRule type="expression" dxfId="4338" priority="640" stopIfTrue="1">
      <formula>AD35="Land"</formula>
    </cfRule>
  </conditionalFormatting>
  <conditionalFormatting sqref="AD34">
    <cfRule type="expression" dxfId="4337" priority="635" stopIfTrue="1">
      <formula>AD35="Water"</formula>
    </cfRule>
    <cfRule type="expression" dxfId="4336" priority="636" stopIfTrue="1">
      <formula>T34="Water"</formula>
    </cfRule>
    <cfRule type="expression" dxfId="4335" priority="637" stopIfTrue="1">
      <formula>T34="Land"</formula>
    </cfRule>
    <cfRule type="expression" dxfId="4334" priority="638" stopIfTrue="1">
      <formula>AD35="Land"</formula>
    </cfRule>
  </conditionalFormatting>
  <conditionalFormatting sqref="S34">
    <cfRule type="expression" dxfId="4333" priority="631" stopIfTrue="1">
      <formula>T34="Water"</formula>
    </cfRule>
    <cfRule type="expression" dxfId="4332" priority="632" stopIfTrue="1">
      <formula>S35="Water"</formula>
    </cfRule>
    <cfRule type="expression" dxfId="4331" priority="633" stopIfTrue="1">
      <formula>T34="Land"</formula>
    </cfRule>
    <cfRule type="expression" dxfId="4330" priority="634" stopIfTrue="1">
      <formula>S35="Land"</formula>
    </cfRule>
  </conditionalFormatting>
  <conditionalFormatting sqref="U36:AB43">
    <cfRule type="expression" dxfId="4329" priority="630">
      <formula>U36&lt;&gt;""</formula>
    </cfRule>
  </conditionalFormatting>
  <conditionalFormatting sqref="AH35:AO35">
    <cfRule type="expression" dxfId="4328" priority="629">
      <formula>AH35="City Wall"</formula>
    </cfRule>
  </conditionalFormatting>
  <conditionalFormatting sqref="AH44:AO44">
    <cfRule type="expression" dxfId="4327" priority="628">
      <formula>AH44="City Wall"</formula>
    </cfRule>
  </conditionalFormatting>
  <conditionalFormatting sqref="AG36:AG43">
    <cfRule type="expression" dxfId="4326" priority="627">
      <formula>AG36="City Wall"</formula>
    </cfRule>
  </conditionalFormatting>
  <conditionalFormatting sqref="AP36:AP43">
    <cfRule type="expression" dxfId="4325" priority="626">
      <formula>AP36="City Wall"</formula>
    </cfRule>
  </conditionalFormatting>
  <conditionalFormatting sqref="AG35">
    <cfRule type="expression" dxfId="4324" priority="624">
      <formula>AG36="City Wall"</formula>
    </cfRule>
    <cfRule type="expression" dxfId="4323" priority="625">
      <formula>AH35="City Wall"</formula>
    </cfRule>
  </conditionalFormatting>
  <conditionalFormatting sqref="AP35">
    <cfRule type="expression" dxfId="4322" priority="622">
      <formula>AP36="City Wall"</formula>
    </cfRule>
    <cfRule type="expression" dxfId="4321" priority="623">
      <formula>AH35="City Wall"</formula>
    </cfRule>
  </conditionalFormatting>
  <conditionalFormatting sqref="AP44">
    <cfRule type="expression" dxfId="4320" priority="620">
      <formula>AH44="City Wall"</formula>
    </cfRule>
    <cfRule type="expression" dxfId="4319" priority="621">
      <formula>AP36="City Wall"</formula>
    </cfRule>
  </conditionalFormatting>
  <conditionalFormatting sqref="AG44">
    <cfRule type="expression" dxfId="4318" priority="618">
      <formula>AG36="City Wall"</formula>
    </cfRule>
    <cfRule type="expression" dxfId="4317" priority="619">
      <formula>AH44="City Wall"</formula>
    </cfRule>
  </conditionalFormatting>
  <conditionalFormatting sqref="AG45:AP45">
    <cfRule type="expression" dxfId="4316" priority="616">
      <formula>AG45="Land"</formula>
    </cfRule>
    <cfRule type="expression" dxfId="4315" priority="617">
      <formula>AG45="Water"</formula>
    </cfRule>
  </conditionalFormatting>
  <conditionalFormatting sqref="AQ45">
    <cfRule type="expression" dxfId="4314" priority="612" stopIfTrue="1">
      <formula>AQ35="Water"</formula>
    </cfRule>
    <cfRule type="expression" dxfId="4313" priority="613" stopIfTrue="1">
      <formula>AG45="Water"</formula>
    </cfRule>
    <cfRule type="expression" dxfId="4312" priority="614" stopIfTrue="1">
      <formula>AG45="Land"</formula>
    </cfRule>
    <cfRule type="expression" dxfId="4311" priority="615" stopIfTrue="1">
      <formula>AQ35="Land"</formula>
    </cfRule>
  </conditionalFormatting>
  <conditionalFormatting sqref="AG34:AP34">
    <cfRule type="expression" dxfId="4310" priority="610" stopIfTrue="1">
      <formula>AG34="Water"</formula>
    </cfRule>
    <cfRule type="expression" dxfId="4309" priority="611" stopIfTrue="1">
      <formula>AG34="Land"</formula>
    </cfRule>
  </conditionalFormatting>
  <conditionalFormatting sqref="AF45">
    <cfRule type="expression" dxfId="4308" priority="606" stopIfTrue="1">
      <formula>AF35="Water"</formula>
    </cfRule>
    <cfRule type="expression" dxfId="4307" priority="607" stopIfTrue="1">
      <formula>AG45="Water"</formula>
    </cfRule>
    <cfRule type="expression" dxfId="4306" priority="608" stopIfTrue="1">
      <formula>AG45="Land"</formula>
    </cfRule>
    <cfRule type="expression" dxfId="4305" priority="609" stopIfTrue="1">
      <formula>AF35="Land"</formula>
    </cfRule>
  </conditionalFormatting>
  <conditionalFormatting sqref="AF35:AF44">
    <cfRule type="expression" dxfId="4304" priority="604" stopIfTrue="1">
      <formula>AF35="Water"</formula>
    </cfRule>
    <cfRule type="expression" dxfId="4303" priority="605" stopIfTrue="1">
      <formula>AF35="Land"</formula>
    </cfRule>
  </conditionalFormatting>
  <conditionalFormatting sqref="AQ35:AQ44">
    <cfRule type="expression" dxfId="4302" priority="602" stopIfTrue="1">
      <formula>AQ35="Water"</formula>
    </cfRule>
    <cfRule type="expression" dxfId="4301" priority="603" stopIfTrue="1">
      <formula>AQ35="Land"</formula>
    </cfRule>
  </conditionalFormatting>
  <conditionalFormatting sqref="AQ34">
    <cfRule type="expression" dxfId="4300" priority="598" stopIfTrue="1">
      <formula>AQ35="Water"</formula>
    </cfRule>
    <cfRule type="expression" dxfId="4299" priority="599" stopIfTrue="1">
      <formula>AG34="Water"</formula>
    </cfRule>
    <cfRule type="expression" dxfId="4298" priority="600" stopIfTrue="1">
      <formula>AG34="Land"</formula>
    </cfRule>
    <cfRule type="expression" dxfId="4297" priority="601" stopIfTrue="1">
      <formula>AQ35="Land"</formula>
    </cfRule>
  </conditionalFormatting>
  <conditionalFormatting sqref="AF34">
    <cfRule type="expression" dxfId="4296" priority="594" stopIfTrue="1">
      <formula>AG34="Water"</formula>
    </cfRule>
    <cfRule type="expression" dxfId="4295" priority="595" stopIfTrue="1">
      <formula>AF35="Water"</formula>
    </cfRule>
    <cfRule type="expression" dxfId="4294" priority="596" stopIfTrue="1">
      <formula>AG34="Land"</formula>
    </cfRule>
    <cfRule type="expression" dxfId="4293" priority="597" stopIfTrue="1">
      <formula>AF35="Land"</formula>
    </cfRule>
  </conditionalFormatting>
  <conditionalFormatting sqref="AH36:AO43">
    <cfRule type="expression" dxfId="4292" priority="593">
      <formula>AH36&lt;&gt;""</formula>
    </cfRule>
  </conditionalFormatting>
  <conditionalFormatting sqref="H48:O48">
    <cfRule type="expression" dxfId="4291" priority="592">
      <formula>H48="City Wall"</formula>
    </cfRule>
  </conditionalFormatting>
  <conditionalFormatting sqref="H57:O57">
    <cfRule type="expression" dxfId="4290" priority="591">
      <formula>H57="City Wall"</formula>
    </cfRule>
  </conditionalFormatting>
  <conditionalFormatting sqref="G49:G56">
    <cfRule type="expression" dxfId="4289" priority="590">
      <formula>G49="City Wall"</formula>
    </cfRule>
  </conditionalFormatting>
  <conditionalFormatting sqref="P49:P56">
    <cfRule type="expression" dxfId="4288" priority="589">
      <formula>P49="City Wall"</formula>
    </cfRule>
  </conditionalFormatting>
  <conditionalFormatting sqref="G48">
    <cfRule type="expression" dxfId="4287" priority="587">
      <formula>G49="City Wall"</formula>
    </cfRule>
    <cfRule type="expression" dxfId="4286" priority="588">
      <formula>H48="City Wall"</formula>
    </cfRule>
  </conditionalFormatting>
  <conditionalFormatting sqref="P48">
    <cfRule type="expression" dxfId="4285" priority="585">
      <formula>P49="City Wall"</formula>
    </cfRule>
    <cfRule type="expression" dxfId="4284" priority="586">
      <formula>H48="City Wall"</formula>
    </cfRule>
  </conditionalFormatting>
  <conditionalFormatting sqref="P57">
    <cfRule type="expression" dxfId="4283" priority="583">
      <formula>H57="City Wall"</formula>
    </cfRule>
    <cfRule type="expression" dxfId="4282" priority="584">
      <formula>P49="City Wall"</formula>
    </cfRule>
  </conditionalFormatting>
  <conditionalFormatting sqref="G57">
    <cfRule type="expression" dxfId="4281" priority="581">
      <formula>G49="City Wall"</formula>
    </cfRule>
    <cfRule type="expression" dxfId="4280" priority="582">
      <formula>H57="City Wall"</formula>
    </cfRule>
  </conditionalFormatting>
  <conditionalFormatting sqref="G58:P58">
    <cfRule type="expression" dxfId="4279" priority="579">
      <formula>G58="Land"</formula>
    </cfRule>
    <cfRule type="expression" dxfId="4278" priority="580">
      <formula>G58="Water"</formula>
    </cfRule>
  </conditionalFormatting>
  <conditionalFormatting sqref="Q58">
    <cfRule type="expression" dxfId="4277" priority="575" stopIfTrue="1">
      <formula>Q48="Water"</formula>
    </cfRule>
    <cfRule type="expression" dxfId="4276" priority="576" stopIfTrue="1">
      <formula>G58="Water"</formula>
    </cfRule>
    <cfRule type="expression" dxfId="4275" priority="577" stopIfTrue="1">
      <formula>G58="Land"</formula>
    </cfRule>
    <cfRule type="expression" dxfId="4274" priority="578" stopIfTrue="1">
      <formula>Q48="Land"</formula>
    </cfRule>
  </conditionalFormatting>
  <conditionalFormatting sqref="G47:P47">
    <cfRule type="expression" dxfId="4273" priority="573" stopIfTrue="1">
      <formula>G47="Water"</formula>
    </cfRule>
    <cfRule type="expression" dxfId="4272" priority="574" stopIfTrue="1">
      <formula>G47="Land"</formula>
    </cfRule>
  </conditionalFormatting>
  <conditionalFormatting sqref="F58">
    <cfRule type="expression" dxfId="4271" priority="569" stopIfTrue="1">
      <formula>F48="Water"</formula>
    </cfRule>
    <cfRule type="expression" dxfId="4270" priority="570" stopIfTrue="1">
      <formula>G58="Water"</formula>
    </cfRule>
    <cfRule type="expression" dxfId="4269" priority="571" stopIfTrue="1">
      <formula>G58="Land"</formula>
    </cfRule>
    <cfRule type="expression" dxfId="4268" priority="572" stopIfTrue="1">
      <formula>F48="Land"</formula>
    </cfRule>
  </conditionalFormatting>
  <conditionalFormatting sqref="F48:F57">
    <cfRule type="expression" dxfId="4267" priority="567" stopIfTrue="1">
      <formula>F48="Water"</formula>
    </cfRule>
    <cfRule type="expression" dxfId="4266" priority="568" stopIfTrue="1">
      <formula>F48="Land"</formula>
    </cfRule>
  </conditionalFormatting>
  <conditionalFormatting sqref="Q48:Q57">
    <cfRule type="expression" dxfId="4265" priority="565" stopIfTrue="1">
      <formula>Q48="Water"</formula>
    </cfRule>
    <cfRule type="expression" dxfId="4264" priority="566" stopIfTrue="1">
      <formula>Q48="Land"</formula>
    </cfRule>
  </conditionalFormatting>
  <conditionalFormatting sqref="Q47">
    <cfRule type="expression" dxfId="4263" priority="561" stopIfTrue="1">
      <formula>Q48="Water"</formula>
    </cfRule>
    <cfRule type="expression" dxfId="4262" priority="562" stopIfTrue="1">
      <formula>G47="Water"</formula>
    </cfRule>
    <cfRule type="expression" dxfId="4261" priority="563" stopIfTrue="1">
      <formula>G47="Land"</formula>
    </cfRule>
    <cfRule type="expression" dxfId="4260" priority="564" stopIfTrue="1">
      <formula>Q48="Land"</formula>
    </cfRule>
  </conditionalFormatting>
  <conditionalFormatting sqref="F47">
    <cfRule type="expression" dxfId="4259" priority="557" stopIfTrue="1">
      <formula>G47="Water"</formula>
    </cfRule>
    <cfRule type="expression" dxfId="4258" priority="558" stopIfTrue="1">
      <formula>F48="Water"</formula>
    </cfRule>
    <cfRule type="expression" dxfId="4257" priority="559" stopIfTrue="1">
      <formula>G47="Land"</formula>
    </cfRule>
    <cfRule type="expression" dxfId="4256" priority="560" stopIfTrue="1">
      <formula>F48="Land"</formula>
    </cfRule>
  </conditionalFormatting>
  <conditionalFormatting sqref="H49:O56">
    <cfRule type="expression" dxfId="4255" priority="556">
      <formula>H49&lt;&gt;""</formula>
    </cfRule>
  </conditionalFormatting>
  <conditionalFormatting sqref="U48:AB48">
    <cfRule type="expression" dxfId="4254" priority="555">
      <formula>U48="City Wall"</formula>
    </cfRule>
  </conditionalFormatting>
  <conditionalFormatting sqref="U57:AB57">
    <cfRule type="expression" dxfId="4253" priority="554">
      <formula>U57="City Wall"</formula>
    </cfRule>
  </conditionalFormatting>
  <conditionalFormatting sqref="T49:T56">
    <cfRule type="expression" dxfId="4252" priority="553">
      <formula>T49="City Wall"</formula>
    </cfRule>
  </conditionalFormatting>
  <conditionalFormatting sqref="AC49:AC56">
    <cfRule type="expression" dxfId="4251" priority="552">
      <formula>AC49="City Wall"</formula>
    </cfRule>
  </conditionalFormatting>
  <conditionalFormatting sqref="T48">
    <cfRule type="expression" dxfId="4250" priority="550">
      <formula>T49="City Wall"</formula>
    </cfRule>
    <cfRule type="expression" dxfId="4249" priority="551">
      <formula>U48="City Wall"</formula>
    </cfRule>
  </conditionalFormatting>
  <conditionalFormatting sqref="AC48">
    <cfRule type="expression" dxfId="4248" priority="548">
      <formula>AC49="City Wall"</formula>
    </cfRule>
    <cfRule type="expression" dxfId="4247" priority="549">
      <formula>U48="City Wall"</formula>
    </cfRule>
  </conditionalFormatting>
  <conditionalFormatting sqref="AC57">
    <cfRule type="expression" dxfId="4246" priority="546">
      <formula>U57="City Wall"</formula>
    </cfRule>
    <cfRule type="expression" dxfId="4245" priority="547">
      <formula>AC49="City Wall"</formula>
    </cfRule>
  </conditionalFormatting>
  <conditionalFormatting sqref="T57">
    <cfRule type="expression" dxfId="4244" priority="544">
      <formula>T49="City Wall"</formula>
    </cfRule>
    <cfRule type="expression" dxfId="4243" priority="545">
      <formula>U57="City Wall"</formula>
    </cfRule>
  </conditionalFormatting>
  <conditionalFormatting sqref="T58:AC58">
    <cfRule type="expression" dxfId="4242" priority="542">
      <formula>T58="Land"</formula>
    </cfRule>
    <cfRule type="expression" dxfId="4241" priority="543">
      <formula>T58="Water"</formula>
    </cfRule>
  </conditionalFormatting>
  <conditionalFormatting sqref="AD58">
    <cfRule type="expression" dxfId="4240" priority="538" stopIfTrue="1">
      <formula>AD48="Water"</formula>
    </cfRule>
    <cfRule type="expression" dxfId="4239" priority="539" stopIfTrue="1">
      <formula>T58="Water"</formula>
    </cfRule>
    <cfRule type="expression" dxfId="4238" priority="540" stopIfTrue="1">
      <formula>T58="Land"</formula>
    </cfRule>
    <cfRule type="expression" dxfId="4237" priority="541" stopIfTrue="1">
      <formula>AD48="Land"</formula>
    </cfRule>
  </conditionalFormatting>
  <conditionalFormatting sqref="T47:AC47">
    <cfRule type="expression" dxfId="4236" priority="536" stopIfTrue="1">
      <formula>T47="Water"</formula>
    </cfRule>
    <cfRule type="expression" dxfId="4235" priority="537" stopIfTrue="1">
      <formula>T47="Land"</formula>
    </cfRule>
  </conditionalFormatting>
  <conditionalFormatting sqref="S58">
    <cfRule type="expression" dxfId="4234" priority="532" stopIfTrue="1">
      <formula>S48="Water"</formula>
    </cfRule>
    <cfRule type="expression" dxfId="4233" priority="533" stopIfTrue="1">
      <formula>T58="Water"</formula>
    </cfRule>
    <cfRule type="expression" dxfId="4232" priority="534" stopIfTrue="1">
      <formula>T58="Land"</formula>
    </cfRule>
    <cfRule type="expression" dxfId="4231" priority="535" stopIfTrue="1">
      <formula>S48="Land"</formula>
    </cfRule>
  </conditionalFormatting>
  <conditionalFormatting sqref="S48:S57">
    <cfRule type="expression" dxfId="4230" priority="530" stopIfTrue="1">
      <formula>S48="Water"</formula>
    </cfRule>
    <cfRule type="expression" dxfId="4229" priority="531" stopIfTrue="1">
      <formula>S48="Land"</formula>
    </cfRule>
  </conditionalFormatting>
  <conditionalFormatting sqref="AD48:AD57">
    <cfRule type="expression" dxfId="4228" priority="528" stopIfTrue="1">
      <formula>AD48="Water"</formula>
    </cfRule>
    <cfRule type="expression" dxfId="4227" priority="529" stopIfTrue="1">
      <formula>AD48="Land"</formula>
    </cfRule>
  </conditionalFormatting>
  <conditionalFormatting sqref="AD47">
    <cfRule type="expression" dxfId="4226" priority="524" stopIfTrue="1">
      <formula>AD48="Water"</formula>
    </cfRule>
    <cfRule type="expression" dxfId="4225" priority="525" stopIfTrue="1">
      <formula>T47="Water"</formula>
    </cfRule>
    <cfRule type="expression" dxfId="4224" priority="526" stopIfTrue="1">
      <formula>T47="Land"</formula>
    </cfRule>
    <cfRule type="expression" dxfId="4223" priority="527" stopIfTrue="1">
      <formula>AD48="Land"</formula>
    </cfRule>
  </conditionalFormatting>
  <conditionalFormatting sqref="S47">
    <cfRule type="expression" dxfId="4222" priority="520" stopIfTrue="1">
      <formula>T47="Water"</formula>
    </cfRule>
    <cfRule type="expression" dxfId="4221" priority="521" stopIfTrue="1">
      <formula>S48="Water"</formula>
    </cfRule>
    <cfRule type="expression" dxfId="4220" priority="522" stopIfTrue="1">
      <formula>T47="Land"</formula>
    </cfRule>
    <cfRule type="expression" dxfId="4219" priority="523" stopIfTrue="1">
      <formula>S48="Land"</formula>
    </cfRule>
  </conditionalFormatting>
  <conditionalFormatting sqref="U49:AB56">
    <cfRule type="expression" dxfId="4218" priority="519">
      <formula>U49&lt;&gt;""</formula>
    </cfRule>
  </conditionalFormatting>
  <conditionalFormatting sqref="AH48:AO48">
    <cfRule type="expression" dxfId="4217" priority="518">
      <formula>AH48="City Wall"</formula>
    </cfRule>
  </conditionalFormatting>
  <conditionalFormatting sqref="AH57:AO57">
    <cfRule type="expression" dxfId="4216" priority="517">
      <formula>AH57="City Wall"</formula>
    </cfRule>
  </conditionalFormatting>
  <conditionalFormatting sqref="AG49:AG56">
    <cfRule type="expression" dxfId="4215" priority="516">
      <formula>AG49="City Wall"</formula>
    </cfRule>
  </conditionalFormatting>
  <conditionalFormatting sqref="AP49:AP56">
    <cfRule type="expression" dxfId="4214" priority="515">
      <formula>AP49="City Wall"</formula>
    </cfRule>
  </conditionalFormatting>
  <conditionalFormatting sqref="AG48">
    <cfRule type="expression" dxfId="4213" priority="513">
      <formula>AG49="City Wall"</formula>
    </cfRule>
    <cfRule type="expression" dxfId="4212" priority="514">
      <formula>AH48="City Wall"</formula>
    </cfRule>
  </conditionalFormatting>
  <conditionalFormatting sqref="AP48">
    <cfRule type="expression" dxfId="4211" priority="511">
      <formula>AP49="City Wall"</formula>
    </cfRule>
    <cfRule type="expression" dxfId="4210" priority="512">
      <formula>AH48="City Wall"</formula>
    </cfRule>
  </conditionalFormatting>
  <conditionalFormatting sqref="AP57">
    <cfRule type="expression" dxfId="4209" priority="509">
      <formula>AH57="City Wall"</formula>
    </cfRule>
    <cfRule type="expression" dxfId="4208" priority="510">
      <formula>AP49="City Wall"</formula>
    </cfRule>
  </conditionalFormatting>
  <conditionalFormatting sqref="AG57">
    <cfRule type="expression" dxfId="4207" priority="507">
      <formula>AG49="City Wall"</formula>
    </cfRule>
    <cfRule type="expression" dxfId="4206" priority="508">
      <formula>AH57="City Wall"</formula>
    </cfRule>
  </conditionalFormatting>
  <conditionalFormatting sqref="AG58:AP58">
    <cfRule type="expression" dxfId="4205" priority="505">
      <formula>AG58="Land"</formula>
    </cfRule>
    <cfRule type="expression" dxfId="4204" priority="506">
      <formula>AG58="Water"</formula>
    </cfRule>
  </conditionalFormatting>
  <conditionalFormatting sqref="AQ58">
    <cfRule type="expression" dxfId="4203" priority="501" stopIfTrue="1">
      <formula>AQ48="Water"</formula>
    </cfRule>
    <cfRule type="expression" dxfId="4202" priority="502" stopIfTrue="1">
      <formula>AG58="Water"</formula>
    </cfRule>
    <cfRule type="expression" dxfId="4201" priority="503" stopIfTrue="1">
      <formula>AG58="Land"</formula>
    </cfRule>
    <cfRule type="expression" dxfId="4200" priority="504" stopIfTrue="1">
      <formula>AQ48="Land"</formula>
    </cfRule>
  </conditionalFormatting>
  <conditionalFormatting sqref="AG47:AP47">
    <cfRule type="expression" dxfId="4199" priority="499" stopIfTrue="1">
      <formula>AG47="Water"</formula>
    </cfRule>
    <cfRule type="expression" dxfId="4198" priority="500" stopIfTrue="1">
      <formula>AG47="Land"</formula>
    </cfRule>
  </conditionalFormatting>
  <conditionalFormatting sqref="AF58">
    <cfRule type="expression" dxfId="4197" priority="495" stopIfTrue="1">
      <formula>AF48="Water"</formula>
    </cfRule>
    <cfRule type="expression" dxfId="4196" priority="496" stopIfTrue="1">
      <formula>AG58="Water"</formula>
    </cfRule>
    <cfRule type="expression" dxfId="4195" priority="497" stopIfTrue="1">
      <formula>AG58="Land"</formula>
    </cfRule>
    <cfRule type="expression" dxfId="4194" priority="498" stopIfTrue="1">
      <formula>AF48="Land"</formula>
    </cfRule>
  </conditionalFormatting>
  <conditionalFormatting sqref="AF48:AF57">
    <cfRule type="expression" dxfId="4193" priority="493" stopIfTrue="1">
      <formula>AF48="Water"</formula>
    </cfRule>
    <cfRule type="expression" dxfId="4192" priority="494" stopIfTrue="1">
      <formula>AF48="Land"</formula>
    </cfRule>
  </conditionalFormatting>
  <conditionalFormatting sqref="AQ48:AQ57">
    <cfRule type="expression" dxfId="4191" priority="491" stopIfTrue="1">
      <formula>AQ48="Water"</formula>
    </cfRule>
    <cfRule type="expression" dxfId="4190" priority="492" stopIfTrue="1">
      <formula>AQ48="Land"</formula>
    </cfRule>
  </conditionalFormatting>
  <conditionalFormatting sqref="AQ47">
    <cfRule type="expression" dxfId="4189" priority="487" stopIfTrue="1">
      <formula>AQ48="Water"</formula>
    </cfRule>
    <cfRule type="expression" dxfId="4188" priority="488" stopIfTrue="1">
      <formula>AG47="Water"</formula>
    </cfRule>
    <cfRule type="expression" dxfId="4187" priority="489" stopIfTrue="1">
      <formula>AG47="Land"</formula>
    </cfRule>
    <cfRule type="expression" dxfId="4186" priority="490" stopIfTrue="1">
      <formula>AQ48="Land"</formula>
    </cfRule>
  </conditionalFormatting>
  <conditionalFormatting sqref="AF47">
    <cfRule type="expression" dxfId="4185" priority="483" stopIfTrue="1">
      <formula>AG47="Water"</formula>
    </cfRule>
    <cfRule type="expression" dxfId="4184" priority="484" stopIfTrue="1">
      <formula>AF48="Water"</formula>
    </cfRule>
    <cfRule type="expression" dxfId="4183" priority="485" stopIfTrue="1">
      <formula>AG47="Land"</formula>
    </cfRule>
    <cfRule type="expression" dxfId="4182" priority="486" stopIfTrue="1">
      <formula>AF48="Land"</formula>
    </cfRule>
  </conditionalFormatting>
  <conditionalFormatting sqref="AH49:AO56">
    <cfRule type="expression" dxfId="4181" priority="482">
      <formula>AH49&lt;&gt;""</formula>
    </cfRule>
  </conditionalFormatting>
  <conditionalFormatting sqref="AU9:BB9">
    <cfRule type="expression" dxfId="4180" priority="481">
      <formula>AU9="City Wall"</formula>
    </cfRule>
  </conditionalFormatting>
  <conditionalFormatting sqref="AU18:BB18">
    <cfRule type="expression" dxfId="4179" priority="480">
      <formula>AU18="City Wall"</formula>
    </cfRule>
  </conditionalFormatting>
  <conditionalFormatting sqref="AT10:AT17">
    <cfRule type="expression" dxfId="4178" priority="479">
      <formula>AT10="City Wall"</formula>
    </cfRule>
  </conditionalFormatting>
  <conditionalFormatting sqref="BC10:BC17">
    <cfRule type="expression" dxfId="4177" priority="478">
      <formula>BC10="City Wall"</formula>
    </cfRule>
  </conditionalFormatting>
  <conditionalFormatting sqref="AT9">
    <cfRule type="expression" dxfId="4176" priority="476">
      <formula>AT10="City Wall"</formula>
    </cfRule>
    <cfRule type="expression" dxfId="4175" priority="477">
      <formula>AU9="City Wall"</formula>
    </cfRule>
  </conditionalFormatting>
  <conditionalFormatting sqref="BC9">
    <cfRule type="expression" dxfId="4174" priority="474">
      <formula>BC10="City Wall"</formula>
    </cfRule>
    <cfRule type="expression" dxfId="4173" priority="475">
      <formula>AU9="City Wall"</formula>
    </cfRule>
  </conditionalFormatting>
  <conditionalFormatting sqref="BC18">
    <cfRule type="expression" dxfId="4172" priority="472">
      <formula>AU18="City Wall"</formula>
    </cfRule>
    <cfRule type="expression" dxfId="4171" priority="473">
      <formula>BC10="City Wall"</formula>
    </cfRule>
  </conditionalFormatting>
  <conditionalFormatting sqref="AT18">
    <cfRule type="expression" dxfId="4170" priority="470">
      <formula>AT10="City Wall"</formula>
    </cfRule>
    <cfRule type="expression" dxfId="4169" priority="471">
      <formula>AU18="City Wall"</formula>
    </cfRule>
  </conditionalFormatting>
  <conditionalFormatting sqref="AT19:BC19">
    <cfRule type="expression" dxfId="4168" priority="468">
      <formula>AT19="Land"</formula>
    </cfRule>
    <cfRule type="expression" dxfId="4167" priority="469">
      <formula>AT19="Water"</formula>
    </cfRule>
  </conditionalFormatting>
  <conditionalFormatting sqref="BD19">
    <cfRule type="expression" dxfId="4166" priority="464" stopIfTrue="1">
      <formula>BD9="Water"</formula>
    </cfRule>
    <cfRule type="expression" dxfId="4165" priority="465" stopIfTrue="1">
      <formula>AT19="Water"</formula>
    </cfRule>
    <cfRule type="expression" dxfId="4164" priority="466" stopIfTrue="1">
      <formula>AT19="Land"</formula>
    </cfRule>
    <cfRule type="expression" dxfId="4163" priority="467" stopIfTrue="1">
      <formula>BD9="Land"</formula>
    </cfRule>
  </conditionalFormatting>
  <conditionalFormatting sqref="AT8:BC8">
    <cfRule type="expression" dxfId="4162" priority="462" stopIfTrue="1">
      <formula>AT8="Water"</formula>
    </cfRule>
    <cfRule type="expression" dxfId="4161" priority="463" stopIfTrue="1">
      <formula>AT8="Land"</formula>
    </cfRule>
  </conditionalFormatting>
  <conditionalFormatting sqref="AS19">
    <cfRule type="expression" dxfId="4160" priority="458" stopIfTrue="1">
      <formula>AS9="Water"</formula>
    </cfRule>
    <cfRule type="expression" dxfId="4159" priority="459" stopIfTrue="1">
      <formula>AT19="Water"</formula>
    </cfRule>
    <cfRule type="expression" dxfId="4158" priority="460" stopIfTrue="1">
      <formula>AT19="Land"</formula>
    </cfRule>
    <cfRule type="expression" dxfId="4157" priority="461" stopIfTrue="1">
      <formula>AS9="Land"</formula>
    </cfRule>
  </conditionalFormatting>
  <conditionalFormatting sqref="AS9:AS18">
    <cfRule type="expression" dxfId="4156" priority="456" stopIfTrue="1">
      <formula>AS9="Water"</formula>
    </cfRule>
    <cfRule type="expression" dxfId="4155" priority="457" stopIfTrue="1">
      <formula>AS9="Land"</formula>
    </cfRule>
  </conditionalFormatting>
  <conditionalFormatting sqref="BD9:BD18">
    <cfRule type="expression" dxfId="4154" priority="454" stopIfTrue="1">
      <formula>BD9="Water"</formula>
    </cfRule>
    <cfRule type="expression" dxfId="4153" priority="455" stopIfTrue="1">
      <formula>BD9="Land"</formula>
    </cfRule>
  </conditionalFormatting>
  <conditionalFormatting sqref="BD8">
    <cfRule type="expression" dxfId="4152" priority="450" stopIfTrue="1">
      <formula>BD9="Water"</formula>
    </cfRule>
    <cfRule type="expression" dxfId="4151" priority="451" stopIfTrue="1">
      <formula>AT8="Water"</formula>
    </cfRule>
    <cfRule type="expression" dxfId="4150" priority="452" stopIfTrue="1">
      <formula>AT8="Land"</formula>
    </cfRule>
    <cfRule type="expression" dxfId="4149" priority="453" stopIfTrue="1">
      <formula>BD9="Land"</formula>
    </cfRule>
  </conditionalFormatting>
  <conditionalFormatting sqref="AS8">
    <cfRule type="expression" dxfId="4148" priority="446" stopIfTrue="1">
      <formula>AT8="Water"</formula>
    </cfRule>
    <cfRule type="expression" dxfId="4147" priority="447" stopIfTrue="1">
      <formula>AS9="Water"</formula>
    </cfRule>
    <cfRule type="expression" dxfId="4146" priority="448" stopIfTrue="1">
      <formula>AT8="Land"</formula>
    </cfRule>
    <cfRule type="expression" dxfId="4145" priority="449" stopIfTrue="1">
      <formula>AS9="Land"</formula>
    </cfRule>
  </conditionalFormatting>
  <conditionalFormatting sqref="AU10:BB17">
    <cfRule type="expression" dxfId="4144" priority="445">
      <formula>AU10&lt;&gt;""</formula>
    </cfRule>
  </conditionalFormatting>
  <conditionalFormatting sqref="AU22:BB22">
    <cfRule type="expression" dxfId="4143" priority="444">
      <formula>AU22="City Wall"</formula>
    </cfRule>
  </conditionalFormatting>
  <conditionalFormatting sqref="AU31:BB31">
    <cfRule type="expression" dxfId="4142" priority="443">
      <formula>AU31="City Wall"</formula>
    </cfRule>
  </conditionalFormatting>
  <conditionalFormatting sqref="AT23:AT30">
    <cfRule type="expression" dxfId="4141" priority="442">
      <formula>AT23="City Wall"</formula>
    </cfRule>
  </conditionalFormatting>
  <conditionalFormatting sqref="BC23:BC30">
    <cfRule type="expression" dxfId="4140" priority="441">
      <formula>BC23="City Wall"</formula>
    </cfRule>
  </conditionalFormatting>
  <conditionalFormatting sqref="AT22">
    <cfRule type="expression" dxfId="4139" priority="439">
      <formula>AT23="City Wall"</formula>
    </cfRule>
    <cfRule type="expression" dxfId="4138" priority="440">
      <formula>AU22="City Wall"</formula>
    </cfRule>
  </conditionalFormatting>
  <conditionalFormatting sqref="BC22">
    <cfRule type="expression" dxfId="4137" priority="437">
      <formula>BC23="City Wall"</formula>
    </cfRule>
    <cfRule type="expression" dxfId="4136" priority="438">
      <formula>AU22="City Wall"</formula>
    </cfRule>
  </conditionalFormatting>
  <conditionalFormatting sqref="BC31">
    <cfRule type="expression" dxfId="4135" priority="435">
      <formula>AU31="City Wall"</formula>
    </cfRule>
    <cfRule type="expression" dxfId="4134" priority="436">
      <formula>BC23="City Wall"</formula>
    </cfRule>
  </conditionalFormatting>
  <conditionalFormatting sqref="AT31">
    <cfRule type="expression" dxfId="4133" priority="433">
      <formula>AT23="City Wall"</formula>
    </cfRule>
    <cfRule type="expression" dxfId="4132" priority="434">
      <formula>AU31="City Wall"</formula>
    </cfRule>
  </conditionalFormatting>
  <conditionalFormatting sqref="AT32:BC32">
    <cfRule type="expression" dxfId="4131" priority="431">
      <formula>AT32="Land"</formula>
    </cfRule>
    <cfRule type="expression" dxfId="4130" priority="432">
      <formula>AT32="Water"</formula>
    </cfRule>
  </conditionalFormatting>
  <conditionalFormatting sqref="BD32">
    <cfRule type="expression" dxfId="4129" priority="427" stopIfTrue="1">
      <formula>BD22="Water"</formula>
    </cfRule>
    <cfRule type="expression" dxfId="4128" priority="428" stopIfTrue="1">
      <formula>AT32="Water"</formula>
    </cfRule>
    <cfRule type="expression" dxfId="4127" priority="429" stopIfTrue="1">
      <formula>AT32="Land"</formula>
    </cfRule>
    <cfRule type="expression" dxfId="4126" priority="430" stopIfTrue="1">
      <formula>BD22="Land"</formula>
    </cfRule>
  </conditionalFormatting>
  <conditionalFormatting sqref="AT21:BC21">
    <cfRule type="expression" dxfId="4125" priority="425" stopIfTrue="1">
      <formula>AT21="Water"</formula>
    </cfRule>
    <cfRule type="expression" dxfId="4124" priority="426" stopIfTrue="1">
      <formula>AT21="Land"</formula>
    </cfRule>
  </conditionalFormatting>
  <conditionalFormatting sqref="AS32">
    <cfRule type="expression" dxfId="4123" priority="421" stopIfTrue="1">
      <formula>AS22="Water"</formula>
    </cfRule>
    <cfRule type="expression" dxfId="4122" priority="422" stopIfTrue="1">
      <formula>AT32="Water"</formula>
    </cfRule>
    <cfRule type="expression" dxfId="4121" priority="423" stopIfTrue="1">
      <formula>AT32="Land"</formula>
    </cfRule>
    <cfRule type="expression" dxfId="4120" priority="424" stopIfTrue="1">
      <formula>AS22="Land"</formula>
    </cfRule>
  </conditionalFormatting>
  <conditionalFormatting sqref="AS22:AS31">
    <cfRule type="expression" dxfId="4119" priority="419" stopIfTrue="1">
      <formula>AS22="Water"</formula>
    </cfRule>
    <cfRule type="expression" dxfId="4118" priority="420" stopIfTrue="1">
      <formula>AS22="Land"</formula>
    </cfRule>
  </conditionalFormatting>
  <conditionalFormatting sqref="BD22:BD31">
    <cfRule type="expression" dxfId="4117" priority="417" stopIfTrue="1">
      <formula>BD22="Water"</formula>
    </cfRule>
    <cfRule type="expression" dxfId="4116" priority="418" stopIfTrue="1">
      <formula>BD22="Land"</formula>
    </cfRule>
  </conditionalFormatting>
  <conditionalFormatting sqref="BD21">
    <cfRule type="expression" dxfId="4115" priority="413" stopIfTrue="1">
      <formula>BD22="Water"</formula>
    </cfRule>
    <cfRule type="expression" dxfId="4114" priority="414" stopIfTrue="1">
      <formula>AT21="Water"</formula>
    </cfRule>
    <cfRule type="expression" dxfId="4113" priority="415" stopIfTrue="1">
      <formula>AT21="Land"</formula>
    </cfRule>
    <cfRule type="expression" dxfId="4112" priority="416" stopIfTrue="1">
      <formula>BD22="Land"</formula>
    </cfRule>
  </conditionalFormatting>
  <conditionalFormatting sqref="AS21">
    <cfRule type="expression" dxfId="4111" priority="409" stopIfTrue="1">
      <formula>AT21="Water"</formula>
    </cfRule>
    <cfRule type="expression" dxfId="4110" priority="410" stopIfTrue="1">
      <formula>AS22="Water"</formula>
    </cfRule>
    <cfRule type="expression" dxfId="4109" priority="411" stopIfTrue="1">
      <formula>AT21="Land"</formula>
    </cfRule>
    <cfRule type="expression" dxfId="4108" priority="412" stopIfTrue="1">
      <formula>AS22="Land"</formula>
    </cfRule>
  </conditionalFormatting>
  <conditionalFormatting sqref="AU23:BB30">
    <cfRule type="expression" dxfId="4107" priority="408">
      <formula>AU23&lt;&gt;""</formula>
    </cfRule>
  </conditionalFormatting>
  <conditionalFormatting sqref="AU35:BB35">
    <cfRule type="expression" dxfId="4106" priority="407">
      <formula>AU35="City Wall"</formula>
    </cfRule>
  </conditionalFormatting>
  <conditionalFormatting sqref="AU44:BB44">
    <cfRule type="expression" dxfId="4105" priority="406">
      <formula>AU44="City Wall"</formula>
    </cfRule>
  </conditionalFormatting>
  <conditionalFormatting sqref="AT36:AT43">
    <cfRule type="expression" dxfId="4104" priority="405">
      <formula>AT36="City Wall"</formula>
    </cfRule>
  </conditionalFormatting>
  <conditionalFormatting sqref="BC36:BC43">
    <cfRule type="expression" dxfId="4103" priority="404">
      <formula>BC36="City Wall"</formula>
    </cfRule>
  </conditionalFormatting>
  <conditionalFormatting sqref="AT35">
    <cfRule type="expression" dxfId="4102" priority="402">
      <formula>AT36="City Wall"</formula>
    </cfRule>
    <cfRule type="expression" dxfId="4101" priority="403">
      <formula>AU35="City Wall"</formula>
    </cfRule>
  </conditionalFormatting>
  <conditionalFormatting sqref="BC35">
    <cfRule type="expression" dxfId="4100" priority="400">
      <formula>BC36="City Wall"</formula>
    </cfRule>
    <cfRule type="expression" dxfId="4099" priority="401">
      <formula>AU35="City Wall"</formula>
    </cfRule>
  </conditionalFormatting>
  <conditionalFormatting sqref="BC44">
    <cfRule type="expression" dxfId="4098" priority="398">
      <formula>AU44="City Wall"</formula>
    </cfRule>
    <cfRule type="expression" dxfId="4097" priority="399">
      <formula>BC36="City Wall"</formula>
    </cfRule>
  </conditionalFormatting>
  <conditionalFormatting sqref="AT44">
    <cfRule type="expression" dxfId="4096" priority="396">
      <formula>AT36="City Wall"</formula>
    </cfRule>
    <cfRule type="expression" dxfId="4095" priority="397">
      <formula>AU44="City Wall"</formula>
    </cfRule>
  </conditionalFormatting>
  <conditionalFormatting sqref="AT45:BC45">
    <cfRule type="expression" dxfId="4094" priority="394">
      <formula>AT45="Land"</formula>
    </cfRule>
    <cfRule type="expression" dxfId="4093" priority="395">
      <formula>AT45="Water"</formula>
    </cfRule>
  </conditionalFormatting>
  <conditionalFormatting sqref="BD45">
    <cfRule type="expression" dxfId="4092" priority="390" stopIfTrue="1">
      <formula>BD35="Water"</formula>
    </cfRule>
    <cfRule type="expression" dxfId="4091" priority="391" stopIfTrue="1">
      <formula>AT45="Water"</formula>
    </cfRule>
    <cfRule type="expression" dxfId="4090" priority="392" stopIfTrue="1">
      <formula>AT45="Land"</formula>
    </cfRule>
    <cfRule type="expression" dxfId="4089" priority="393" stopIfTrue="1">
      <formula>BD35="Land"</formula>
    </cfRule>
  </conditionalFormatting>
  <conditionalFormatting sqref="AT34:BC34">
    <cfRule type="expression" dxfId="4088" priority="388" stopIfTrue="1">
      <formula>AT34="Water"</formula>
    </cfRule>
    <cfRule type="expression" dxfId="4087" priority="389" stopIfTrue="1">
      <formula>AT34="Land"</formula>
    </cfRule>
  </conditionalFormatting>
  <conditionalFormatting sqref="AS45">
    <cfRule type="expression" dxfId="4086" priority="384" stopIfTrue="1">
      <formula>AS35="Water"</formula>
    </cfRule>
    <cfRule type="expression" dxfId="4085" priority="385" stopIfTrue="1">
      <formula>AT45="Water"</formula>
    </cfRule>
    <cfRule type="expression" dxfId="4084" priority="386" stopIfTrue="1">
      <formula>AT45="Land"</formula>
    </cfRule>
    <cfRule type="expression" dxfId="4083" priority="387" stopIfTrue="1">
      <formula>AS35="Land"</formula>
    </cfRule>
  </conditionalFormatting>
  <conditionalFormatting sqref="AS35:AS44">
    <cfRule type="expression" dxfId="4082" priority="382" stopIfTrue="1">
      <formula>AS35="Water"</formula>
    </cfRule>
    <cfRule type="expression" dxfId="4081" priority="383" stopIfTrue="1">
      <formula>AS35="Land"</formula>
    </cfRule>
  </conditionalFormatting>
  <conditionalFormatting sqref="BD35:BD44">
    <cfRule type="expression" dxfId="4080" priority="380" stopIfTrue="1">
      <formula>BD35="Water"</formula>
    </cfRule>
    <cfRule type="expression" dxfId="4079" priority="381" stopIfTrue="1">
      <formula>BD35="Land"</formula>
    </cfRule>
  </conditionalFormatting>
  <conditionalFormatting sqref="BD34">
    <cfRule type="expression" dxfId="4078" priority="376" stopIfTrue="1">
      <formula>BD35="Water"</formula>
    </cfRule>
    <cfRule type="expression" dxfId="4077" priority="377" stopIfTrue="1">
      <formula>AT34="Water"</formula>
    </cfRule>
    <cfRule type="expression" dxfId="4076" priority="378" stopIfTrue="1">
      <formula>AT34="Land"</formula>
    </cfRule>
    <cfRule type="expression" dxfId="4075" priority="379" stopIfTrue="1">
      <formula>BD35="Land"</formula>
    </cfRule>
  </conditionalFormatting>
  <conditionalFormatting sqref="AS34">
    <cfRule type="expression" dxfId="4074" priority="372" stopIfTrue="1">
      <formula>AT34="Water"</formula>
    </cfRule>
    <cfRule type="expression" dxfId="4073" priority="373" stopIfTrue="1">
      <formula>AS35="Water"</formula>
    </cfRule>
    <cfRule type="expression" dxfId="4072" priority="374" stopIfTrue="1">
      <formula>AT34="Land"</formula>
    </cfRule>
    <cfRule type="expression" dxfId="4071" priority="375" stopIfTrue="1">
      <formula>AS35="Land"</formula>
    </cfRule>
  </conditionalFormatting>
  <conditionalFormatting sqref="AU36:BB43">
    <cfRule type="expression" dxfId="4070" priority="371">
      <formula>AU36&lt;&gt;""</formula>
    </cfRule>
  </conditionalFormatting>
  <conditionalFormatting sqref="AU48:BB48">
    <cfRule type="expression" dxfId="4069" priority="370">
      <formula>AU48="City Wall"</formula>
    </cfRule>
  </conditionalFormatting>
  <conditionalFormatting sqref="AU57:BB57">
    <cfRule type="expression" dxfId="4068" priority="369">
      <formula>AU57="City Wall"</formula>
    </cfRule>
  </conditionalFormatting>
  <conditionalFormatting sqref="AT49:AT56">
    <cfRule type="expression" dxfId="4067" priority="368">
      <formula>AT49="City Wall"</formula>
    </cfRule>
  </conditionalFormatting>
  <conditionalFormatting sqref="BC49:BC56">
    <cfRule type="expression" dxfId="4066" priority="367">
      <formula>BC49="City Wall"</formula>
    </cfRule>
  </conditionalFormatting>
  <conditionalFormatting sqref="AT48">
    <cfRule type="expression" dxfId="4065" priority="365">
      <formula>AT49="City Wall"</formula>
    </cfRule>
    <cfRule type="expression" dxfId="4064" priority="366">
      <formula>AU48="City Wall"</formula>
    </cfRule>
  </conditionalFormatting>
  <conditionalFormatting sqref="BC48">
    <cfRule type="expression" dxfId="4063" priority="363">
      <formula>BC49="City Wall"</formula>
    </cfRule>
    <cfRule type="expression" dxfId="4062" priority="364">
      <formula>AU48="City Wall"</formula>
    </cfRule>
  </conditionalFormatting>
  <conditionalFormatting sqref="BC57">
    <cfRule type="expression" dxfId="4061" priority="361">
      <formula>AU57="City Wall"</formula>
    </cfRule>
    <cfRule type="expression" dxfId="4060" priority="362">
      <formula>BC49="City Wall"</formula>
    </cfRule>
  </conditionalFormatting>
  <conditionalFormatting sqref="AT57">
    <cfRule type="expression" dxfId="4059" priority="359">
      <formula>AT49="City Wall"</formula>
    </cfRule>
    <cfRule type="expression" dxfId="4058" priority="360">
      <formula>AU57="City Wall"</formula>
    </cfRule>
  </conditionalFormatting>
  <conditionalFormatting sqref="AT58:BC58">
    <cfRule type="expression" dxfId="4057" priority="357">
      <formula>AT58="Land"</formula>
    </cfRule>
    <cfRule type="expression" dxfId="4056" priority="358">
      <formula>AT58="Water"</formula>
    </cfRule>
  </conditionalFormatting>
  <conditionalFormatting sqref="BD58">
    <cfRule type="expression" dxfId="4055" priority="353" stopIfTrue="1">
      <formula>BD48="Water"</formula>
    </cfRule>
    <cfRule type="expression" dxfId="4054" priority="354" stopIfTrue="1">
      <formula>AT58="Water"</formula>
    </cfRule>
    <cfRule type="expression" dxfId="4053" priority="355" stopIfTrue="1">
      <formula>AT58="Land"</formula>
    </cfRule>
    <cfRule type="expression" dxfId="4052" priority="356" stopIfTrue="1">
      <formula>BD48="Land"</formula>
    </cfRule>
  </conditionalFormatting>
  <conditionalFormatting sqref="AT47:BC47">
    <cfRule type="expression" dxfId="4051" priority="351" stopIfTrue="1">
      <formula>AT47="Water"</formula>
    </cfRule>
    <cfRule type="expression" dxfId="4050" priority="352" stopIfTrue="1">
      <formula>AT47="Land"</formula>
    </cfRule>
  </conditionalFormatting>
  <conditionalFormatting sqref="AS58">
    <cfRule type="expression" dxfId="4049" priority="347" stopIfTrue="1">
      <formula>AS48="Water"</formula>
    </cfRule>
    <cfRule type="expression" dxfId="4048" priority="348" stopIfTrue="1">
      <formula>AT58="Water"</formula>
    </cfRule>
    <cfRule type="expression" dxfId="4047" priority="349" stopIfTrue="1">
      <formula>AT58="Land"</formula>
    </cfRule>
    <cfRule type="expression" dxfId="4046" priority="350" stopIfTrue="1">
      <formula>AS48="Land"</formula>
    </cfRule>
  </conditionalFormatting>
  <conditionalFormatting sqref="AS48:AS57">
    <cfRule type="expression" dxfId="4045" priority="345" stopIfTrue="1">
      <formula>AS48="Water"</formula>
    </cfRule>
    <cfRule type="expression" dxfId="4044" priority="346" stopIfTrue="1">
      <formula>AS48="Land"</formula>
    </cfRule>
  </conditionalFormatting>
  <conditionalFormatting sqref="BD48:BD57">
    <cfRule type="expression" dxfId="4043" priority="343" stopIfTrue="1">
      <formula>BD48="Water"</formula>
    </cfRule>
    <cfRule type="expression" dxfId="4042" priority="344" stopIfTrue="1">
      <formula>BD48="Land"</formula>
    </cfRule>
  </conditionalFormatting>
  <conditionalFormatting sqref="BD47">
    <cfRule type="expression" dxfId="4041" priority="339" stopIfTrue="1">
      <formula>BD48="Water"</formula>
    </cfRule>
    <cfRule type="expression" dxfId="4040" priority="340" stopIfTrue="1">
      <formula>AT47="Water"</formula>
    </cfRule>
    <cfRule type="expression" dxfId="4039" priority="341" stopIfTrue="1">
      <formula>AT47="Land"</formula>
    </cfRule>
    <cfRule type="expression" dxfId="4038" priority="342" stopIfTrue="1">
      <formula>BD48="Land"</formula>
    </cfRule>
  </conditionalFormatting>
  <conditionalFormatting sqref="AS47">
    <cfRule type="expression" dxfId="4037" priority="335" stopIfTrue="1">
      <formula>AT47="Water"</formula>
    </cfRule>
    <cfRule type="expression" dxfId="4036" priority="336" stopIfTrue="1">
      <formula>AS48="Water"</formula>
    </cfRule>
    <cfRule type="expression" dxfId="4035" priority="337" stopIfTrue="1">
      <formula>AT47="Land"</formula>
    </cfRule>
    <cfRule type="expression" dxfId="4034" priority="338" stopIfTrue="1">
      <formula>AS48="Land"</formula>
    </cfRule>
  </conditionalFormatting>
  <conditionalFormatting sqref="AU49:BB56">
    <cfRule type="expression" dxfId="4033" priority="334">
      <formula>AU49&lt;&gt;""</formula>
    </cfRule>
  </conditionalFormatting>
  <conditionalFormatting sqref="H61:O61">
    <cfRule type="expression" dxfId="4032" priority="333">
      <formula>H61="City Wall"</formula>
    </cfRule>
  </conditionalFormatting>
  <conditionalFormatting sqref="H70:O70">
    <cfRule type="expression" dxfId="4031" priority="332">
      <formula>H70="City Wall"</formula>
    </cfRule>
  </conditionalFormatting>
  <conditionalFormatting sqref="G62:G69">
    <cfRule type="expression" dxfId="4030" priority="331">
      <formula>G62="City Wall"</formula>
    </cfRule>
  </conditionalFormatting>
  <conditionalFormatting sqref="P62:P69">
    <cfRule type="expression" dxfId="4029" priority="330">
      <formula>P62="City Wall"</formula>
    </cfRule>
  </conditionalFormatting>
  <conditionalFormatting sqref="G61">
    <cfRule type="expression" dxfId="4028" priority="328">
      <formula>G62="City Wall"</formula>
    </cfRule>
    <cfRule type="expression" dxfId="4027" priority="329">
      <formula>H61="City Wall"</formula>
    </cfRule>
  </conditionalFormatting>
  <conditionalFormatting sqref="P61">
    <cfRule type="expression" dxfId="4026" priority="326">
      <formula>P62="City Wall"</formula>
    </cfRule>
    <cfRule type="expression" dxfId="4025" priority="327">
      <formula>H61="City Wall"</formula>
    </cfRule>
  </conditionalFormatting>
  <conditionalFormatting sqref="P70">
    <cfRule type="expression" dxfId="4024" priority="324">
      <formula>H70="City Wall"</formula>
    </cfRule>
    <cfRule type="expression" dxfId="4023" priority="325">
      <formula>P62="City Wall"</formula>
    </cfRule>
  </conditionalFormatting>
  <conditionalFormatting sqref="G70">
    <cfRule type="expression" dxfId="4022" priority="322">
      <formula>G62="City Wall"</formula>
    </cfRule>
    <cfRule type="expression" dxfId="4021" priority="323">
      <formula>H70="City Wall"</formula>
    </cfRule>
  </conditionalFormatting>
  <conditionalFormatting sqref="G71:P71">
    <cfRule type="expression" dxfId="4020" priority="320">
      <formula>G71="Land"</formula>
    </cfRule>
    <cfRule type="expression" dxfId="4019" priority="321">
      <formula>G71="Water"</formula>
    </cfRule>
  </conditionalFormatting>
  <conditionalFormatting sqref="Q71">
    <cfRule type="expression" dxfId="4018" priority="316" stopIfTrue="1">
      <formula>Q61="Water"</formula>
    </cfRule>
    <cfRule type="expression" dxfId="4017" priority="317" stopIfTrue="1">
      <formula>G71="Water"</formula>
    </cfRule>
    <cfRule type="expression" dxfId="4016" priority="318" stopIfTrue="1">
      <formula>G71="Land"</formula>
    </cfRule>
    <cfRule type="expression" dxfId="4015" priority="319" stopIfTrue="1">
      <formula>Q61="Land"</formula>
    </cfRule>
  </conditionalFormatting>
  <conditionalFormatting sqref="G60:P60">
    <cfRule type="expression" dxfId="4014" priority="314" stopIfTrue="1">
      <formula>G60="Water"</formula>
    </cfRule>
    <cfRule type="expression" dxfId="4013" priority="315" stopIfTrue="1">
      <formula>G60="Land"</formula>
    </cfRule>
  </conditionalFormatting>
  <conditionalFormatting sqref="F71">
    <cfRule type="expression" dxfId="4012" priority="310" stopIfTrue="1">
      <formula>F61="Water"</formula>
    </cfRule>
    <cfRule type="expression" dxfId="4011" priority="311" stopIfTrue="1">
      <formula>G71="Water"</formula>
    </cfRule>
    <cfRule type="expression" dxfId="4010" priority="312" stopIfTrue="1">
      <formula>G71="Land"</formula>
    </cfRule>
    <cfRule type="expression" dxfId="4009" priority="313" stopIfTrue="1">
      <formula>F61="Land"</formula>
    </cfRule>
  </conditionalFormatting>
  <conditionalFormatting sqref="F61:F70">
    <cfRule type="expression" dxfId="4008" priority="308" stopIfTrue="1">
      <formula>F61="Water"</formula>
    </cfRule>
    <cfRule type="expression" dxfId="4007" priority="309" stopIfTrue="1">
      <formula>F61="Land"</formula>
    </cfRule>
  </conditionalFormatting>
  <conditionalFormatting sqref="Q61:Q70">
    <cfRule type="expression" dxfId="4006" priority="306" stopIfTrue="1">
      <formula>Q61="Water"</formula>
    </cfRule>
    <cfRule type="expression" dxfId="4005" priority="307" stopIfTrue="1">
      <formula>Q61="Land"</formula>
    </cfRule>
  </conditionalFormatting>
  <conditionalFormatting sqref="Q60">
    <cfRule type="expression" dxfId="4004" priority="302" stopIfTrue="1">
      <formula>Q61="Water"</formula>
    </cfRule>
    <cfRule type="expression" dxfId="4003" priority="303" stopIfTrue="1">
      <formula>G60="Water"</formula>
    </cfRule>
    <cfRule type="expression" dxfId="4002" priority="304" stopIfTrue="1">
      <formula>G60="Land"</formula>
    </cfRule>
    <cfRule type="expression" dxfId="4001" priority="305" stopIfTrue="1">
      <formula>Q61="Land"</formula>
    </cfRule>
  </conditionalFormatting>
  <conditionalFormatting sqref="F60">
    <cfRule type="expression" dxfId="4000" priority="298" stopIfTrue="1">
      <formula>G60="Water"</formula>
    </cfRule>
    <cfRule type="expression" dxfId="3999" priority="299" stopIfTrue="1">
      <formula>F61="Water"</formula>
    </cfRule>
    <cfRule type="expression" dxfId="3998" priority="300" stopIfTrue="1">
      <formula>G60="Land"</formula>
    </cfRule>
    <cfRule type="expression" dxfId="3997" priority="301" stopIfTrue="1">
      <formula>F61="Land"</formula>
    </cfRule>
  </conditionalFormatting>
  <conditionalFormatting sqref="H62:O69">
    <cfRule type="expression" dxfId="3996" priority="297">
      <formula>H62&lt;&gt;""</formula>
    </cfRule>
  </conditionalFormatting>
  <conditionalFormatting sqref="U61:AB61">
    <cfRule type="expression" dxfId="3995" priority="296">
      <formula>U61="City Wall"</formula>
    </cfRule>
  </conditionalFormatting>
  <conditionalFormatting sqref="U70:AB70">
    <cfRule type="expression" dxfId="3994" priority="295">
      <formula>U70="City Wall"</formula>
    </cfRule>
  </conditionalFormatting>
  <conditionalFormatting sqref="T62:T69">
    <cfRule type="expression" dxfId="3993" priority="294">
      <formula>T62="City Wall"</formula>
    </cfRule>
  </conditionalFormatting>
  <conditionalFormatting sqref="AC62:AC69">
    <cfRule type="expression" dxfId="3992" priority="293">
      <formula>AC62="City Wall"</formula>
    </cfRule>
  </conditionalFormatting>
  <conditionalFormatting sqref="T61">
    <cfRule type="expression" dxfId="3991" priority="291">
      <formula>T62="City Wall"</formula>
    </cfRule>
    <cfRule type="expression" dxfId="3990" priority="292">
      <formula>U61="City Wall"</formula>
    </cfRule>
  </conditionalFormatting>
  <conditionalFormatting sqref="AC61">
    <cfRule type="expression" dxfId="3989" priority="289">
      <formula>AC62="City Wall"</formula>
    </cfRule>
    <cfRule type="expression" dxfId="3988" priority="290">
      <formula>U61="City Wall"</formula>
    </cfRule>
  </conditionalFormatting>
  <conditionalFormatting sqref="AC70">
    <cfRule type="expression" dxfId="3987" priority="287">
      <formula>U70="City Wall"</formula>
    </cfRule>
    <cfRule type="expression" dxfId="3986" priority="288">
      <formula>AC62="City Wall"</formula>
    </cfRule>
  </conditionalFormatting>
  <conditionalFormatting sqref="T70">
    <cfRule type="expression" dxfId="3985" priority="285">
      <formula>T62="City Wall"</formula>
    </cfRule>
    <cfRule type="expression" dxfId="3984" priority="286">
      <formula>U70="City Wall"</formula>
    </cfRule>
  </conditionalFormatting>
  <conditionalFormatting sqref="T71:AC71">
    <cfRule type="expression" dxfId="3983" priority="283">
      <formula>T71="Land"</formula>
    </cfRule>
    <cfRule type="expression" dxfId="3982" priority="284">
      <formula>T71="Water"</formula>
    </cfRule>
  </conditionalFormatting>
  <conditionalFormatting sqref="AD71">
    <cfRule type="expression" dxfId="3981" priority="279" stopIfTrue="1">
      <formula>AD61="Water"</formula>
    </cfRule>
    <cfRule type="expression" dxfId="3980" priority="280" stopIfTrue="1">
      <formula>T71="Water"</formula>
    </cfRule>
    <cfRule type="expression" dxfId="3979" priority="281" stopIfTrue="1">
      <formula>T71="Land"</formula>
    </cfRule>
    <cfRule type="expression" dxfId="3978" priority="282" stopIfTrue="1">
      <formula>AD61="Land"</formula>
    </cfRule>
  </conditionalFormatting>
  <conditionalFormatting sqref="T60:AC60">
    <cfRule type="expression" dxfId="3977" priority="277" stopIfTrue="1">
      <formula>T60="Water"</formula>
    </cfRule>
    <cfRule type="expression" dxfId="3976" priority="278" stopIfTrue="1">
      <formula>T60="Land"</formula>
    </cfRule>
  </conditionalFormatting>
  <conditionalFormatting sqref="S71">
    <cfRule type="expression" dxfId="3975" priority="273" stopIfTrue="1">
      <formula>S61="Water"</formula>
    </cfRule>
    <cfRule type="expression" dxfId="3974" priority="274" stopIfTrue="1">
      <formula>T71="Water"</formula>
    </cfRule>
    <cfRule type="expression" dxfId="3973" priority="275" stopIfTrue="1">
      <formula>T71="Land"</formula>
    </cfRule>
    <cfRule type="expression" dxfId="3972" priority="276" stopIfTrue="1">
      <formula>S61="Land"</formula>
    </cfRule>
  </conditionalFormatting>
  <conditionalFormatting sqref="S61:S70">
    <cfRule type="expression" dxfId="3971" priority="271" stopIfTrue="1">
      <formula>S61="Water"</formula>
    </cfRule>
    <cfRule type="expression" dxfId="3970" priority="272" stopIfTrue="1">
      <formula>S61="Land"</formula>
    </cfRule>
  </conditionalFormatting>
  <conditionalFormatting sqref="AD61:AD70">
    <cfRule type="expression" dxfId="3969" priority="269" stopIfTrue="1">
      <formula>AD61="Water"</formula>
    </cfRule>
    <cfRule type="expression" dxfId="3968" priority="270" stopIfTrue="1">
      <formula>AD61="Land"</formula>
    </cfRule>
  </conditionalFormatting>
  <conditionalFormatting sqref="AD60">
    <cfRule type="expression" dxfId="3967" priority="265" stopIfTrue="1">
      <formula>AD61="Water"</formula>
    </cfRule>
    <cfRule type="expression" dxfId="3966" priority="266" stopIfTrue="1">
      <formula>T60="Water"</formula>
    </cfRule>
    <cfRule type="expression" dxfId="3965" priority="267" stopIfTrue="1">
      <formula>T60="Land"</formula>
    </cfRule>
    <cfRule type="expression" dxfId="3964" priority="268" stopIfTrue="1">
      <formula>AD61="Land"</formula>
    </cfRule>
  </conditionalFormatting>
  <conditionalFormatting sqref="S60">
    <cfRule type="expression" dxfId="3963" priority="261" stopIfTrue="1">
      <formula>T60="Water"</formula>
    </cfRule>
    <cfRule type="expression" dxfId="3962" priority="262" stopIfTrue="1">
      <formula>S61="Water"</formula>
    </cfRule>
    <cfRule type="expression" dxfId="3961" priority="263" stopIfTrue="1">
      <formula>T60="Land"</formula>
    </cfRule>
    <cfRule type="expression" dxfId="3960" priority="264" stopIfTrue="1">
      <formula>S61="Land"</formula>
    </cfRule>
  </conditionalFormatting>
  <conditionalFormatting sqref="U62:AB69">
    <cfRule type="expression" dxfId="3959" priority="260">
      <formula>U62&lt;&gt;""</formula>
    </cfRule>
  </conditionalFormatting>
  <conditionalFormatting sqref="AH61:AO61">
    <cfRule type="expression" dxfId="3958" priority="259">
      <formula>AH61="City Wall"</formula>
    </cfRule>
  </conditionalFormatting>
  <conditionalFormatting sqref="AH70:AO70">
    <cfRule type="expression" dxfId="3957" priority="258">
      <formula>AH70="City Wall"</formula>
    </cfRule>
  </conditionalFormatting>
  <conditionalFormatting sqref="AG62:AG69">
    <cfRule type="expression" dxfId="3956" priority="257">
      <formula>AG62="City Wall"</formula>
    </cfRule>
  </conditionalFormatting>
  <conditionalFormatting sqref="AP62:AP69">
    <cfRule type="expression" dxfId="3955" priority="256">
      <formula>AP62="City Wall"</formula>
    </cfRule>
  </conditionalFormatting>
  <conditionalFormatting sqref="AG61">
    <cfRule type="expression" dxfId="3954" priority="254">
      <formula>AG62="City Wall"</formula>
    </cfRule>
    <cfRule type="expression" dxfId="3953" priority="255">
      <formula>AH61="City Wall"</formula>
    </cfRule>
  </conditionalFormatting>
  <conditionalFormatting sqref="AP61">
    <cfRule type="expression" dxfId="3952" priority="252">
      <formula>AP62="City Wall"</formula>
    </cfRule>
    <cfRule type="expression" dxfId="3951" priority="253">
      <formula>AH61="City Wall"</formula>
    </cfRule>
  </conditionalFormatting>
  <conditionalFormatting sqref="AP70">
    <cfRule type="expression" dxfId="3950" priority="250">
      <formula>AH70="City Wall"</formula>
    </cfRule>
    <cfRule type="expression" dxfId="3949" priority="251">
      <formula>AP62="City Wall"</formula>
    </cfRule>
  </conditionalFormatting>
  <conditionalFormatting sqref="AG70">
    <cfRule type="expression" dxfId="3948" priority="248">
      <formula>AG62="City Wall"</formula>
    </cfRule>
    <cfRule type="expression" dxfId="3947" priority="249">
      <formula>AH70="City Wall"</formula>
    </cfRule>
  </conditionalFormatting>
  <conditionalFormatting sqref="AG71:AP71">
    <cfRule type="expression" dxfId="3946" priority="246">
      <formula>AG71="Land"</formula>
    </cfRule>
    <cfRule type="expression" dxfId="3945" priority="247">
      <formula>AG71="Water"</formula>
    </cfRule>
  </conditionalFormatting>
  <conditionalFormatting sqref="AQ71">
    <cfRule type="expression" dxfId="3944" priority="242" stopIfTrue="1">
      <formula>AQ61="Water"</formula>
    </cfRule>
    <cfRule type="expression" dxfId="3943" priority="243" stopIfTrue="1">
      <formula>AG71="Water"</formula>
    </cfRule>
    <cfRule type="expression" dxfId="3942" priority="244" stopIfTrue="1">
      <formula>AG71="Land"</formula>
    </cfRule>
    <cfRule type="expression" dxfId="3941" priority="245" stopIfTrue="1">
      <formula>AQ61="Land"</formula>
    </cfRule>
  </conditionalFormatting>
  <conditionalFormatting sqref="AG60:AP60">
    <cfRule type="expression" dxfId="3940" priority="240" stopIfTrue="1">
      <formula>AG60="Water"</formula>
    </cfRule>
    <cfRule type="expression" dxfId="3939" priority="241" stopIfTrue="1">
      <formula>AG60="Land"</formula>
    </cfRule>
  </conditionalFormatting>
  <conditionalFormatting sqref="AF71">
    <cfRule type="expression" dxfId="3938" priority="236" stopIfTrue="1">
      <formula>AF61="Water"</formula>
    </cfRule>
    <cfRule type="expression" dxfId="3937" priority="237" stopIfTrue="1">
      <formula>AG71="Water"</formula>
    </cfRule>
    <cfRule type="expression" dxfId="3936" priority="238" stopIfTrue="1">
      <formula>AG71="Land"</formula>
    </cfRule>
    <cfRule type="expression" dxfId="3935" priority="239" stopIfTrue="1">
      <formula>AF61="Land"</formula>
    </cfRule>
  </conditionalFormatting>
  <conditionalFormatting sqref="AF61:AF70">
    <cfRule type="expression" dxfId="3934" priority="234" stopIfTrue="1">
      <formula>AF61="Water"</formula>
    </cfRule>
    <cfRule type="expression" dxfId="3933" priority="235" stopIfTrue="1">
      <formula>AF61="Land"</formula>
    </cfRule>
  </conditionalFormatting>
  <conditionalFormatting sqref="AQ61:AQ70">
    <cfRule type="expression" dxfId="3932" priority="232" stopIfTrue="1">
      <formula>AQ61="Water"</formula>
    </cfRule>
    <cfRule type="expression" dxfId="3931" priority="233" stopIfTrue="1">
      <formula>AQ61="Land"</formula>
    </cfRule>
  </conditionalFormatting>
  <conditionalFormatting sqref="AQ60">
    <cfRule type="expression" dxfId="3930" priority="228" stopIfTrue="1">
      <formula>AQ61="Water"</formula>
    </cfRule>
    <cfRule type="expression" dxfId="3929" priority="229" stopIfTrue="1">
      <formula>AG60="Water"</formula>
    </cfRule>
    <cfRule type="expression" dxfId="3928" priority="230" stopIfTrue="1">
      <formula>AG60="Land"</formula>
    </cfRule>
    <cfRule type="expression" dxfId="3927" priority="231" stopIfTrue="1">
      <formula>AQ61="Land"</formula>
    </cfRule>
  </conditionalFormatting>
  <conditionalFormatting sqref="AF60">
    <cfRule type="expression" dxfId="3926" priority="224" stopIfTrue="1">
      <formula>AG60="Water"</formula>
    </cfRule>
    <cfRule type="expression" dxfId="3925" priority="225" stopIfTrue="1">
      <formula>AF61="Water"</formula>
    </cfRule>
    <cfRule type="expression" dxfId="3924" priority="226" stopIfTrue="1">
      <formula>AG60="Land"</formula>
    </cfRule>
    <cfRule type="expression" dxfId="3923" priority="227" stopIfTrue="1">
      <formula>AF61="Land"</formula>
    </cfRule>
  </conditionalFormatting>
  <conditionalFormatting sqref="AH62:AO69">
    <cfRule type="expression" dxfId="3922" priority="223">
      <formula>AH62&lt;&gt;""</formula>
    </cfRule>
  </conditionalFormatting>
  <conditionalFormatting sqref="AU61:BB61">
    <cfRule type="expression" dxfId="3921" priority="222">
      <formula>AU61="City Wall"</formula>
    </cfRule>
  </conditionalFormatting>
  <conditionalFormatting sqref="AU70:BB70">
    <cfRule type="expression" dxfId="3920" priority="221">
      <formula>AU70="City Wall"</formula>
    </cfRule>
  </conditionalFormatting>
  <conditionalFormatting sqref="AT62:AT69">
    <cfRule type="expression" dxfId="3919" priority="220">
      <formula>AT62="City Wall"</formula>
    </cfRule>
  </conditionalFormatting>
  <conditionalFormatting sqref="BC62:BC69">
    <cfRule type="expression" dxfId="3918" priority="219">
      <formula>BC62="City Wall"</formula>
    </cfRule>
  </conditionalFormatting>
  <conditionalFormatting sqref="AT61">
    <cfRule type="expression" dxfId="3917" priority="217">
      <formula>AT62="City Wall"</formula>
    </cfRule>
    <cfRule type="expression" dxfId="3916" priority="218">
      <formula>AU61="City Wall"</formula>
    </cfRule>
  </conditionalFormatting>
  <conditionalFormatting sqref="BC61">
    <cfRule type="expression" dxfId="3915" priority="215">
      <formula>BC62="City Wall"</formula>
    </cfRule>
    <cfRule type="expression" dxfId="3914" priority="216">
      <formula>AU61="City Wall"</formula>
    </cfRule>
  </conditionalFormatting>
  <conditionalFormatting sqref="BC70">
    <cfRule type="expression" dxfId="3913" priority="213">
      <formula>AU70="City Wall"</formula>
    </cfRule>
    <cfRule type="expression" dxfId="3912" priority="214">
      <formula>BC62="City Wall"</formula>
    </cfRule>
  </conditionalFormatting>
  <conditionalFormatting sqref="AT70">
    <cfRule type="expression" dxfId="3911" priority="211">
      <formula>AT62="City Wall"</formula>
    </cfRule>
    <cfRule type="expression" dxfId="3910" priority="212">
      <formula>AU70="City Wall"</formula>
    </cfRule>
  </conditionalFormatting>
  <conditionalFormatting sqref="AT71:BC71">
    <cfRule type="expression" dxfId="3909" priority="209">
      <formula>AT71="Land"</formula>
    </cfRule>
    <cfRule type="expression" dxfId="3908" priority="210">
      <formula>AT71="Water"</formula>
    </cfRule>
  </conditionalFormatting>
  <conditionalFormatting sqref="BD71">
    <cfRule type="expression" dxfId="3907" priority="205" stopIfTrue="1">
      <formula>BD61="Water"</formula>
    </cfRule>
    <cfRule type="expression" dxfId="3906" priority="206" stopIfTrue="1">
      <formula>AT71="Water"</formula>
    </cfRule>
    <cfRule type="expression" dxfId="3905" priority="207" stopIfTrue="1">
      <formula>AT71="Land"</formula>
    </cfRule>
    <cfRule type="expression" dxfId="3904" priority="208" stopIfTrue="1">
      <formula>BD61="Land"</formula>
    </cfRule>
  </conditionalFormatting>
  <conditionalFormatting sqref="AT60:BC60">
    <cfRule type="expression" dxfId="3903" priority="203" stopIfTrue="1">
      <formula>AT60="Water"</formula>
    </cfRule>
    <cfRule type="expression" dxfId="3902" priority="204" stopIfTrue="1">
      <formula>AT60="Land"</formula>
    </cfRule>
  </conditionalFormatting>
  <conditionalFormatting sqref="AS71">
    <cfRule type="expression" dxfId="3901" priority="199" stopIfTrue="1">
      <formula>AS61="Water"</formula>
    </cfRule>
    <cfRule type="expression" dxfId="3900" priority="200" stopIfTrue="1">
      <formula>AT71="Water"</formula>
    </cfRule>
    <cfRule type="expression" dxfId="3899" priority="201" stopIfTrue="1">
      <formula>AT71="Land"</formula>
    </cfRule>
    <cfRule type="expression" dxfId="3898" priority="202" stopIfTrue="1">
      <formula>AS61="Land"</formula>
    </cfRule>
  </conditionalFormatting>
  <conditionalFormatting sqref="AS61:AS70">
    <cfRule type="expression" dxfId="3897" priority="197" stopIfTrue="1">
      <formula>AS61="Water"</formula>
    </cfRule>
    <cfRule type="expression" dxfId="3896" priority="198" stopIfTrue="1">
      <formula>AS61="Land"</formula>
    </cfRule>
  </conditionalFormatting>
  <conditionalFormatting sqref="BD61:BD70">
    <cfRule type="expression" dxfId="3895" priority="195" stopIfTrue="1">
      <formula>BD61="Water"</formula>
    </cfRule>
    <cfRule type="expression" dxfId="3894" priority="196" stopIfTrue="1">
      <formula>BD61="Land"</formula>
    </cfRule>
  </conditionalFormatting>
  <conditionalFormatting sqref="BD60">
    <cfRule type="expression" dxfId="3893" priority="191" stopIfTrue="1">
      <formula>BD61="Water"</formula>
    </cfRule>
    <cfRule type="expression" dxfId="3892" priority="192" stopIfTrue="1">
      <formula>AT60="Water"</formula>
    </cfRule>
    <cfRule type="expression" dxfId="3891" priority="193" stopIfTrue="1">
      <formula>AT60="Land"</formula>
    </cfRule>
    <cfRule type="expression" dxfId="3890" priority="194" stopIfTrue="1">
      <formula>BD61="Land"</formula>
    </cfRule>
  </conditionalFormatting>
  <conditionalFormatting sqref="AS60">
    <cfRule type="expression" dxfId="3889" priority="187" stopIfTrue="1">
      <formula>AT60="Water"</formula>
    </cfRule>
    <cfRule type="expression" dxfId="3888" priority="188" stopIfTrue="1">
      <formula>AS61="Water"</formula>
    </cfRule>
    <cfRule type="expression" dxfId="3887" priority="189" stopIfTrue="1">
      <formula>AT60="Land"</formula>
    </cfRule>
    <cfRule type="expression" dxfId="3886" priority="190" stopIfTrue="1">
      <formula>AS61="Land"</formula>
    </cfRule>
  </conditionalFormatting>
  <conditionalFormatting sqref="AU62:BB69">
    <cfRule type="expression" dxfId="3885" priority="186">
      <formula>AU62&lt;&gt;""</formula>
    </cfRule>
  </conditionalFormatting>
  <conditionalFormatting sqref="BH9:BO9">
    <cfRule type="expression" dxfId="3884" priority="185">
      <formula>BH9="City Wall"</formula>
    </cfRule>
  </conditionalFormatting>
  <conditionalFormatting sqref="BH18:BO18">
    <cfRule type="expression" dxfId="3883" priority="184">
      <formula>BH18="City Wall"</formula>
    </cfRule>
  </conditionalFormatting>
  <conditionalFormatting sqref="BG10:BG17">
    <cfRule type="expression" dxfId="3882" priority="183">
      <formula>BG10="City Wall"</formula>
    </cfRule>
  </conditionalFormatting>
  <conditionalFormatting sqref="BP10:BP17">
    <cfRule type="expression" dxfId="3881" priority="182">
      <formula>BP10="City Wall"</formula>
    </cfRule>
  </conditionalFormatting>
  <conditionalFormatting sqref="BG9">
    <cfRule type="expression" dxfId="3880" priority="180">
      <formula>BG10="City Wall"</formula>
    </cfRule>
    <cfRule type="expression" dxfId="3879" priority="181">
      <formula>BH9="City Wall"</formula>
    </cfRule>
  </conditionalFormatting>
  <conditionalFormatting sqref="BP9">
    <cfRule type="expression" dxfId="3878" priority="178">
      <formula>BP10="City Wall"</formula>
    </cfRule>
    <cfRule type="expression" dxfId="3877" priority="179">
      <formula>BH9="City Wall"</formula>
    </cfRule>
  </conditionalFormatting>
  <conditionalFormatting sqref="BP18">
    <cfRule type="expression" dxfId="3876" priority="176">
      <formula>BH18="City Wall"</formula>
    </cfRule>
    <cfRule type="expression" dxfId="3875" priority="177">
      <formula>BP10="City Wall"</formula>
    </cfRule>
  </conditionalFormatting>
  <conditionalFormatting sqref="BG18">
    <cfRule type="expression" dxfId="3874" priority="174">
      <formula>BG10="City Wall"</formula>
    </cfRule>
    <cfRule type="expression" dxfId="3873" priority="175">
      <formula>BH18="City Wall"</formula>
    </cfRule>
  </conditionalFormatting>
  <conditionalFormatting sqref="BG19:BP19">
    <cfRule type="expression" dxfId="3872" priority="172">
      <formula>BG19="Land"</formula>
    </cfRule>
    <cfRule type="expression" dxfId="3871" priority="173">
      <formula>BG19="Water"</formula>
    </cfRule>
  </conditionalFormatting>
  <conditionalFormatting sqref="BQ19">
    <cfRule type="expression" dxfId="3870" priority="168" stopIfTrue="1">
      <formula>BQ9="Water"</formula>
    </cfRule>
    <cfRule type="expression" dxfId="3869" priority="169" stopIfTrue="1">
      <formula>BG19="Water"</formula>
    </cfRule>
    <cfRule type="expression" dxfId="3868" priority="170" stopIfTrue="1">
      <formula>BG19="Land"</formula>
    </cfRule>
    <cfRule type="expression" dxfId="3867" priority="171" stopIfTrue="1">
      <formula>BQ9="Land"</formula>
    </cfRule>
  </conditionalFormatting>
  <conditionalFormatting sqref="BG8:BP8">
    <cfRule type="expression" dxfId="3866" priority="166" stopIfTrue="1">
      <formula>BG8="Water"</formula>
    </cfRule>
    <cfRule type="expression" dxfId="3865" priority="167" stopIfTrue="1">
      <formula>BG8="Land"</formula>
    </cfRule>
  </conditionalFormatting>
  <conditionalFormatting sqref="BF19">
    <cfRule type="expression" dxfId="3864" priority="162" stopIfTrue="1">
      <formula>BF9="Water"</formula>
    </cfRule>
    <cfRule type="expression" dxfId="3863" priority="163" stopIfTrue="1">
      <formula>BG19="Water"</formula>
    </cfRule>
    <cfRule type="expression" dxfId="3862" priority="164" stopIfTrue="1">
      <formula>BG19="Land"</formula>
    </cfRule>
    <cfRule type="expression" dxfId="3861" priority="165" stopIfTrue="1">
      <formula>BF9="Land"</formula>
    </cfRule>
  </conditionalFormatting>
  <conditionalFormatting sqref="BF9:BF18">
    <cfRule type="expression" dxfId="3860" priority="160" stopIfTrue="1">
      <formula>BF9="Water"</formula>
    </cfRule>
    <cfRule type="expression" dxfId="3859" priority="161" stopIfTrue="1">
      <formula>BF9="Land"</formula>
    </cfRule>
  </conditionalFormatting>
  <conditionalFormatting sqref="BQ9:BQ18">
    <cfRule type="expression" dxfId="3858" priority="158" stopIfTrue="1">
      <formula>BQ9="Water"</formula>
    </cfRule>
    <cfRule type="expression" dxfId="3857" priority="159" stopIfTrue="1">
      <formula>BQ9="Land"</formula>
    </cfRule>
  </conditionalFormatting>
  <conditionalFormatting sqref="BQ8">
    <cfRule type="expression" dxfId="3856" priority="154" stopIfTrue="1">
      <formula>BQ9="Water"</formula>
    </cfRule>
    <cfRule type="expression" dxfId="3855" priority="155" stopIfTrue="1">
      <formula>BG8="Water"</formula>
    </cfRule>
    <cfRule type="expression" dxfId="3854" priority="156" stopIfTrue="1">
      <formula>BG8="Land"</formula>
    </cfRule>
    <cfRule type="expression" dxfId="3853" priority="157" stopIfTrue="1">
      <formula>BQ9="Land"</formula>
    </cfRule>
  </conditionalFormatting>
  <conditionalFormatting sqref="BF8">
    <cfRule type="expression" dxfId="3852" priority="150" stopIfTrue="1">
      <formula>BG8="Water"</formula>
    </cfRule>
    <cfRule type="expression" dxfId="3851" priority="151" stopIfTrue="1">
      <formula>BF9="Water"</formula>
    </cfRule>
    <cfRule type="expression" dxfId="3850" priority="152" stopIfTrue="1">
      <formula>BG8="Land"</formula>
    </cfRule>
    <cfRule type="expression" dxfId="3849" priority="153" stopIfTrue="1">
      <formula>BF9="Land"</formula>
    </cfRule>
  </conditionalFormatting>
  <conditionalFormatting sqref="BH10:BO17">
    <cfRule type="expression" dxfId="3848" priority="149">
      <formula>BH10&lt;&gt;""</formula>
    </cfRule>
  </conditionalFormatting>
  <conditionalFormatting sqref="BH22:BO22">
    <cfRule type="expression" dxfId="3847" priority="148">
      <formula>BH22="City Wall"</formula>
    </cfRule>
  </conditionalFormatting>
  <conditionalFormatting sqref="BH31:BO31">
    <cfRule type="expression" dxfId="3846" priority="147">
      <formula>BH31="City Wall"</formula>
    </cfRule>
  </conditionalFormatting>
  <conditionalFormatting sqref="BG23:BG30">
    <cfRule type="expression" dxfId="3845" priority="146">
      <formula>BG23="City Wall"</formula>
    </cfRule>
  </conditionalFormatting>
  <conditionalFormatting sqref="BP23:BP30">
    <cfRule type="expression" dxfId="3844" priority="145">
      <formula>BP23="City Wall"</formula>
    </cfRule>
  </conditionalFormatting>
  <conditionalFormatting sqref="BG22">
    <cfRule type="expression" dxfId="3843" priority="143">
      <formula>BG23="City Wall"</formula>
    </cfRule>
    <cfRule type="expression" dxfId="3842" priority="144">
      <formula>BH22="City Wall"</formula>
    </cfRule>
  </conditionalFormatting>
  <conditionalFormatting sqref="BP22">
    <cfRule type="expression" dxfId="3841" priority="141">
      <formula>BP23="City Wall"</formula>
    </cfRule>
    <cfRule type="expression" dxfId="3840" priority="142">
      <formula>BH22="City Wall"</formula>
    </cfRule>
  </conditionalFormatting>
  <conditionalFormatting sqref="BP31">
    <cfRule type="expression" dxfId="3839" priority="139">
      <formula>BH31="City Wall"</formula>
    </cfRule>
    <cfRule type="expression" dxfId="3838" priority="140">
      <formula>BP23="City Wall"</formula>
    </cfRule>
  </conditionalFormatting>
  <conditionalFormatting sqref="BG31">
    <cfRule type="expression" dxfId="3837" priority="137">
      <formula>BG23="City Wall"</formula>
    </cfRule>
    <cfRule type="expression" dxfId="3836" priority="138">
      <formula>BH31="City Wall"</formula>
    </cfRule>
  </conditionalFormatting>
  <conditionalFormatting sqref="BG32:BP32">
    <cfRule type="expression" dxfId="3835" priority="135">
      <formula>BG32="Land"</formula>
    </cfRule>
    <cfRule type="expression" dxfId="3834" priority="136">
      <formula>BG32="Water"</formula>
    </cfRule>
  </conditionalFormatting>
  <conditionalFormatting sqref="BQ32">
    <cfRule type="expression" dxfId="3833" priority="131" stopIfTrue="1">
      <formula>BQ22="Water"</formula>
    </cfRule>
    <cfRule type="expression" dxfId="3832" priority="132" stopIfTrue="1">
      <formula>BG32="Water"</formula>
    </cfRule>
    <cfRule type="expression" dxfId="3831" priority="133" stopIfTrue="1">
      <formula>BG32="Land"</formula>
    </cfRule>
    <cfRule type="expression" dxfId="3830" priority="134" stopIfTrue="1">
      <formula>BQ22="Land"</formula>
    </cfRule>
  </conditionalFormatting>
  <conditionalFormatting sqref="BG21:BP21">
    <cfRule type="expression" dxfId="3829" priority="129" stopIfTrue="1">
      <formula>BG21="Water"</formula>
    </cfRule>
    <cfRule type="expression" dxfId="3828" priority="130" stopIfTrue="1">
      <formula>BG21="Land"</formula>
    </cfRule>
  </conditionalFormatting>
  <conditionalFormatting sqref="BF32">
    <cfRule type="expression" dxfId="3827" priority="125" stopIfTrue="1">
      <formula>BF22="Water"</formula>
    </cfRule>
    <cfRule type="expression" dxfId="3826" priority="126" stopIfTrue="1">
      <formula>BG32="Water"</formula>
    </cfRule>
    <cfRule type="expression" dxfId="3825" priority="127" stopIfTrue="1">
      <formula>BG32="Land"</formula>
    </cfRule>
    <cfRule type="expression" dxfId="3824" priority="128" stopIfTrue="1">
      <formula>BF22="Land"</formula>
    </cfRule>
  </conditionalFormatting>
  <conditionalFormatting sqref="BF22:BF31">
    <cfRule type="expression" dxfId="3823" priority="123" stopIfTrue="1">
      <formula>BF22="Water"</formula>
    </cfRule>
    <cfRule type="expression" dxfId="3822" priority="124" stopIfTrue="1">
      <formula>BF22="Land"</formula>
    </cfRule>
  </conditionalFormatting>
  <conditionalFormatting sqref="BQ22:BQ31">
    <cfRule type="expression" dxfId="3821" priority="121" stopIfTrue="1">
      <formula>BQ22="Water"</formula>
    </cfRule>
    <cfRule type="expression" dxfId="3820" priority="122" stopIfTrue="1">
      <formula>BQ22="Land"</formula>
    </cfRule>
  </conditionalFormatting>
  <conditionalFormatting sqref="BQ21">
    <cfRule type="expression" dxfId="3819" priority="117" stopIfTrue="1">
      <formula>BQ22="Water"</formula>
    </cfRule>
    <cfRule type="expression" dxfId="3818" priority="118" stopIfTrue="1">
      <formula>BG21="Water"</formula>
    </cfRule>
    <cfRule type="expression" dxfId="3817" priority="119" stopIfTrue="1">
      <formula>BG21="Land"</formula>
    </cfRule>
    <cfRule type="expression" dxfId="3816" priority="120" stopIfTrue="1">
      <formula>BQ22="Land"</formula>
    </cfRule>
  </conditionalFormatting>
  <conditionalFormatting sqref="BF21">
    <cfRule type="expression" dxfId="3815" priority="113" stopIfTrue="1">
      <formula>BG21="Water"</formula>
    </cfRule>
    <cfRule type="expression" dxfId="3814" priority="114" stopIfTrue="1">
      <formula>BF22="Water"</formula>
    </cfRule>
    <cfRule type="expression" dxfId="3813" priority="115" stopIfTrue="1">
      <formula>BG21="Land"</formula>
    </cfRule>
    <cfRule type="expression" dxfId="3812" priority="116" stopIfTrue="1">
      <formula>BF22="Land"</formula>
    </cfRule>
  </conditionalFormatting>
  <conditionalFormatting sqref="BH23:BO30">
    <cfRule type="expression" dxfId="3811" priority="112">
      <formula>BH23&lt;&gt;""</formula>
    </cfRule>
  </conditionalFormatting>
  <conditionalFormatting sqref="BH35:BO35">
    <cfRule type="expression" dxfId="3810" priority="111">
      <formula>BH35="City Wall"</formula>
    </cfRule>
  </conditionalFormatting>
  <conditionalFormatting sqref="BH44:BO44">
    <cfRule type="expression" dxfId="3809" priority="110">
      <formula>BH44="City Wall"</formula>
    </cfRule>
  </conditionalFormatting>
  <conditionalFormatting sqref="BG36:BG43">
    <cfRule type="expression" dxfId="3808" priority="109">
      <formula>BG36="City Wall"</formula>
    </cfRule>
  </conditionalFormatting>
  <conditionalFormatting sqref="BP36:BP43">
    <cfRule type="expression" dxfId="3807" priority="108">
      <formula>BP36="City Wall"</formula>
    </cfRule>
  </conditionalFormatting>
  <conditionalFormatting sqref="BG35">
    <cfRule type="expression" dxfId="3806" priority="106">
      <formula>BG36="City Wall"</formula>
    </cfRule>
    <cfRule type="expression" dxfId="3805" priority="107">
      <formula>BH35="City Wall"</formula>
    </cfRule>
  </conditionalFormatting>
  <conditionalFormatting sqref="BP35">
    <cfRule type="expression" dxfId="3804" priority="104">
      <formula>BP36="City Wall"</formula>
    </cfRule>
    <cfRule type="expression" dxfId="3803" priority="105">
      <formula>BH35="City Wall"</formula>
    </cfRule>
  </conditionalFormatting>
  <conditionalFormatting sqref="BP44">
    <cfRule type="expression" dxfId="3802" priority="102">
      <formula>BH44="City Wall"</formula>
    </cfRule>
    <cfRule type="expression" dxfId="3801" priority="103">
      <formula>BP36="City Wall"</formula>
    </cfRule>
  </conditionalFormatting>
  <conditionalFormatting sqref="BG44">
    <cfRule type="expression" dxfId="3800" priority="100">
      <formula>BG36="City Wall"</formula>
    </cfRule>
    <cfRule type="expression" dxfId="3799" priority="101">
      <formula>BH44="City Wall"</formula>
    </cfRule>
  </conditionalFormatting>
  <conditionalFormatting sqref="BG45:BP45">
    <cfRule type="expression" dxfId="3798" priority="98">
      <formula>BG45="Land"</formula>
    </cfRule>
    <cfRule type="expression" dxfId="3797" priority="99">
      <formula>BG45="Water"</formula>
    </cfRule>
  </conditionalFormatting>
  <conditionalFormatting sqref="BQ45">
    <cfRule type="expression" dxfId="3796" priority="94" stopIfTrue="1">
      <formula>BQ35="Water"</formula>
    </cfRule>
    <cfRule type="expression" dxfId="3795" priority="95" stopIfTrue="1">
      <formula>BG45="Water"</formula>
    </cfRule>
    <cfRule type="expression" dxfId="3794" priority="96" stopIfTrue="1">
      <formula>BG45="Land"</formula>
    </cfRule>
    <cfRule type="expression" dxfId="3793" priority="97" stopIfTrue="1">
      <formula>BQ35="Land"</formula>
    </cfRule>
  </conditionalFormatting>
  <conditionalFormatting sqref="BG34:BP34">
    <cfRule type="expression" dxfId="3792" priority="92" stopIfTrue="1">
      <formula>BG34="Water"</formula>
    </cfRule>
    <cfRule type="expression" dxfId="3791" priority="93" stopIfTrue="1">
      <formula>BG34="Land"</formula>
    </cfRule>
  </conditionalFormatting>
  <conditionalFormatting sqref="BF45">
    <cfRule type="expression" dxfId="3790" priority="88" stopIfTrue="1">
      <formula>BF35="Water"</formula>
    </cfRule>
    <cfRule type="expression" dxfId="3789" priority="89" stopIfTrue="1">
      <formula>BG45="Water"</formula>
    </cfRule>
    <cfRule type="expression" dxfId="3788" priority="90" stopIfTrue="1">
      <formula>BG45="Land"</formula>
    </cfRule>
    <cfRule type="expression" dxfId="3787" priority="91" stopIfTrue="1">
      <formula>BF35="Land"</formula>
    </cfRule>
  </conditionalFormatting>
  <conditionalFormatting sqref="BF35:BF44">
    <cfRule type="expression" dxfId="3786" priority="86" stopIfTrue="1">
      <formula>BF35="Water"</formula>
    </cfRule>
    <cfRule type="expression" dxfId="3785" priority="87" stopIfTrue="1">
      <formula>BF35="Land"</formula>
    </cfRule>
  </conditionalFormatting>
  <conditionalFormatting sqref="BQ35:BQ44">
    <cfRule type="expression" dxfId="3784" priority="84" stopIfTrue="1">
      <formula>BQ35="Water"</formula>
    </cfRule>
    <cfRule type="expression" dxfId="3783" priority="85" stopIfTrue="1">
      <formula>BQ35="Land"</formula>
    </cfRule>
  </conditionalFormatting>
  <conditionalFormatting sqref="BQ34">
    <cfRule type="expression" dxfId="3782" priority="80" stopIfTrue="1">
      <formula>BQ35="Water"</formula>
    </cfRule>
    <cfRule type="expression" dxfId="3781" priority="81" stopIfTrue="1">
      <formula>BG34="Water"</formula>
    </cfRule>
    <cfRule type="expression" dxfId="3780" priority="82" stopIfTrue="1">
      <formula>BG34="Land"</formula>
    </cfRule>
    <cfRule type="expression" dxfId="3779" priority="83" stopIfTrue="1">
      <formula>BQ35="Land"</formula>
    </cfRule>
  </conditionalFormatting>
  <conditionalFormatting sqref="BF34">
    <cfRule type="expression" dxfId="3778" priority="76" stopIfTrue="1">
      <formula>BG34="Water"</formula>
    </cfRule>
    <cfRule type="expression" dxfId="3777" priority="77" stopIfTrue="1">
      <formula>BF35="Water"</formula>
    </cfRule>
    <cfRule type="expression" dxfId="3776" priority="78" stopIfTrue="1">
      <formula>BG34="Land"</formula>
    </cfRule>
    <cfRule type="expression" dxfId="3775" priority="79" stopIfTrue="1">
      <formula>BF35="Land"</formula>
    </cfRule>
  </conditionalFormatting>
  <conditionalFormatting sqref="BH36:BO43">
    <cfRule type="expression" dxfId="3774" priority="75">
      <formula>BH36&lt;&gt;""</formula>
    </cfRule>
  </conditionalFormatting>
  <conditionalFormatting sqref="BH48:BO48">
    <cfRule type="expression" dxfId="3773" priority="74">
      <formula>BH48="City Wall"</formula>
    </cfRule>
  </conditionalFormatting>
  <conditionalFormatting sqref="BH57:BO57">
    <cfRule type="expression" dxfId="3772" priority="73">
      <formula>BH57="City Wall"</formula>
    </cfRule>
  </conditionalFormatting>
  <conditionalFormatting sqref="BG49:BG56">
    <cfRule type="expression" dxfId="3771" priority="72">
      <formula>BG49="City Wall"</formula>
    </cfRule>
  </conditionalFormatting>
  <conditionalFormatting sqref="BP49:BP56">
    <cfRule type="expression" dxfId="3770" priority="71">
      <formula>BP49="City Wall"</formula>
    </cfRule>
  </conditionalFormatting>
  <conditionalFormatting sqref="BG48">
    <cfRule type="expression" dxfId="3769" priority="69">
      <formula>BG49="City Wall"</formula>
    </cfRule>
    <cfRule type="expression" dxfId="3768" priority="70">
      <formula>BH48="City Wall"</formula>
    </cfRule>
  </conditionalFormatting>
  <conditionalFormatting sqref="BP48">
    <cfRule type="expression" dxfId="3767" priority="67">
      <formula>BP49="City Wall"</formula>
    </cfRule>
    <cfRule type="expression" dxfId="3766" priority="68">
      <formula>BH48="City Wall"</formula>
    </cfRule>
  </conditionalFormatting>
  <conditionalFormatting sqref="BP57">
    <cfRule type="expression" dxfId="3765" priority="65">
      <formula>BH57="City Wall"</formula>
    </cfRule>
    <cfRule type="expression" dxfId="3764" priority="66">
      <formula>BP49="City Wall"</formula>
    </cfRule>
  </conditionalFormatting>
  <conditionalFormatting sqref="BG57">
    <cfRule type="expression" dxfId="3763" priority="63">
      <formula>BG49="City Wall"</formula>
    </cfRule>
    <cfRule type="expression" dxfId="3762" priority="64">
      <formula>BH57="City Wall"</formula>
    </cfRule>
  </conditionalFormatting>
  <conditionalFormatting sqref="BG58:BP58">
    <cfRule type="expression" dxfId="3761" priority="61">
      <formula>BG58="Land"</formula>
    </cfRule>
    <cfRule type="expression" dxfId="3760" priority="62">
      <formula>BG58="Water"</formula>
    </cfRule>
  </conditionalFormatting>
  <conditionalFormatting sqref="BQ58">
    <cfRule type="expression" dxfId="3759" priority="57" stopIfTrue="1">
      <formula>BQ48="Water"</formula>
    </cfRule>
    <cfRule type="expression" dxfId="3758" priority="58" stopIfTrue="1">
      <formula>BG58="Water"</formula>
    </cfRule>
    <cfRule type="expression" dxfId="3757" priority="59" stopIfTrue="1">
      <formula>BG58="Land"</formula>
    </cfRule>
    <cfRule type="expression" dxfId="3756" priority="60" stopIfTrue="1">
      <formula>BQ48="Land"</formula>
    </cfRule>
  </conditionalFormatting>
  <conditionalFormatting sqref="BG47:BP47">
    <cfRule type="expression" dxfId="3755" priority="55" stopIfTrue="1">
      <formula>BG47="Water"</formula>
    </cfRule>
    <cfRule type="expression" dxfId="3754" priority="56" stopIfTrue="1">
      <formula>BG47="Land"</formula>
    </cfRule>
  </conditionalFormatting>
  <conditionalFormatting sqref="BF58">
    <cfRule type="expression" dxfId="3753" priority="51" stopIfTrue="1">
      <formula>BF48="Water"</formula>
    </cfRule>
    <cfRule type="expression" dxfId="3752" priority="52" stopIfTrue="1">
      <formula>BG58="Water"</formula>
    </cfRule>
    <cfRule type="expression" dxfId="3751" priority="53" stopIfTrue="1">
      <formula>BG58="Land"</formula>
    </cfRule>
    <cfRule type="expression" dxfId="3750" priority="54" stopIfTrue="1">
      <formula>BF48="Land"</formula>
    </cfRule>
  </conditionalFormatting>
  <conditionalFormatting sqref="BF48:BF57">
    <cfRule type="expression" dxfId="3749" priority="49" stopIfTrue="1">
      <formula>BF48="Water"</formula>
    </cfRule>
    <cfRule type="expression" dxfId="3748" priority="50" stopIfTrue="1">
      <formula>BF48="Land"</formula>
    </cfRule>
  </conditionalFormatting>
  <conditionalFormatting sqref="BQ48:BQ57">
    <cfRule type="expression" dxfId="3747" priority="47" stopIfTrue="1">
      <formula>BQ48="Water"</formula>
    </cfRule>
    <cfRule type="expression" dxfId="3746" priority="48" stopIfTrue="1">
      <formula>BQ48="Land"</formula>
    </cfRule>
  </conditionalFormatting>
  <conditionalFormatting sqref="BQ47">
    <cfRule type="expression" dxfId="3745" priority="43" stopIfTrue="1">
      <formula>BQ48="Water"</formula>
    </cfRule>
    <cfRule type="expression" dxfId="3744" priority="44" stopIfTrue="1">
      <formula>BG47="Water"</formula>
    </cfRule>
    <cfRule type="expression" dxfId="3743" priority="45" stopIfTrue="1">
      <formula>BG47="Land"</formula>
    </cfRule>
    <cfRule type="expression" dxfId="3742" priority="46" stopIfTrue="1">
      <formula>BQ48="Land"</formula>
    </cfRule>
  </conditionalFormatting>
  <conditionalFormatting sqref="BF47">
    <cfRule type="expression" dxfId="3741" priority="39" stopIfTrue="1">
      <formula>BG47="Water"</formula>
    </cfRule>
    <cfRule type="expression" dxfId="3740" priority="40" stopIfTrue="1">
      <formula>BF48="Water"</formula>
    </cfRule>
    <cfRule type="expression" dxfId="3739" priority="41" stopIfTrue="1">
      <formula>BG47="Land"</formula>
    </cfRule>
    <cfRule type="expression" dxfId="3738" priority="42" stopIfTrue="1">
      <formula>BF48="Land"</formula>
    </cfRule>
  </conditionalFormatting>
  <conditionalFormatting sqref="BH49:BO56">
    <cfRule type="expression" dxfId="3737" priority="38">
      <formula>BH49&lt;&gt;""</formula>
    </cfRule>
  </conditionalFormatting>
  <conditionalFormatting sqref="BH61:BO61">
    <cfRule type="expression" dxfId="3736" priority="37">
      <formula>BH61="City Wall"</formula>
    </cfRule>
  </conditionalFormatting>
  <conditionalFormatting sqref="BH70:BO70">
    <cfRule type="expression" dxfId="3735" priority="36">
      <formula>BH70="City Wall"</formula>
    </cfRule>
  </conditionalFormatting>
  <conditionalFormatting sqref="BG62:BG69">
    <cfRule type="expression" dxfId="3734" priority="35">
      <formula>BG62="City Wall"</formula>
    </cfRule>
  </conditionalFormatting>
  <conditionalFormatting sqref="BP62:BP69">
    <cfRule type="expression" dxfId="3733" priority="34">
      <formula>BP62="City Wall"</formula>
    </cfRule>
  </conditionalFormatting>
  <conditionalFormatting sqref="BG61">
    <cfRule type="expression" dxfId="3732" priority="32">
      <formula>BG62="City Wall"</formula>
    </cfRule>
    <cfRule type="expression" dxfId="3731" priority="33">
      <formula>BH61="City Wall"</formula>
    </cfRule>
  </conditionalFormatting>
  <conditionalFormatting sqref="BP61">
    <cfRule type="expression" dxfId="3730" priority="30">
      <formula>BP62="City Wall"</formula>
    </cfRule>
    <cfRule type="expression" dxfId="3729" priority="31">
      <formula>BH61="City Wall"</formula>
    </cfRule>
  </conditionalFormatting>
  <conditionalFormatting sqref="BP70">
    <cfRule type="expression" dxfId="3728" priority="28">
      <formula>BH70="City Wall"</formula>
    </cfRule>
    <cfRule type="expression" dxfId="3727" priority="29">
      <formula>BP62="City Wall"</formula>
    </cfRule>
  </conditionalFormatting>
  <conditionalFormatting sqref="BG70">
    <cfRule type="expression" dxfId="3726" priority="26">
      <formula>BG62="City Wall"</formula>
    </cfRule>
    <cfRule type="expression" dxfId="3725" priority="27">
      <formula>BH70="City Wall"</formula>
    </cfRule>
  </conditionalFormatting>
  <conditionalFormatting sqref="BG71:BP71">
    <cfRule type="expression" dxfId="3724" priority="24">
      <formula>BG71="Land"</formula>
    </cfRule>
    <cfRule type="expression" dxfId="3723" priority="25">
      <formula>BG71="Water"</formula>
    </cfRule>
  </conditionalFormatting>
  <conditionalFormatting sqref="BQ71">
    <cfRule type="expression" dxfId="3722" priority="20" stopIfTrue="1">
      <formula>BQ61="Water"</formula>
    </cfRule>
    <cfRule type="expression" dxfId="3721" priority="21" stopIfTrue="1">
      <formula>BG71="Water"</formula>
    </cfRule>
    <cfRule type="expression" dxfId="3720" priority="22" stopIfTrue="1">
      <formula>BG71="Land"</formula>
    </cfRule>
    <cfRule type="expression" dxfId="3719" priority="23" stopIfTrue="1">
      <formula>BQ61="Land"</formula>
    </cfRule>
  </conditionalFormatting>
  <conditionalFormatting sqref="BG60:BP60">
    <cfRule type="expression" dxfId="3718" priority="18" stopIfTrue="1">
      <formula>BG60="Water"</formula>
    </cfRule>
    <cfRule type="expression" dxfId="3717" priority="19" stopIfTrue="1">
      <formula>BG60="Land"</formula>
    </cfRule>
  </conditionalFormatting>
  <conditionalFormatting sqref="BF71">
    <cfRule type="expression" dxfId="3716" priority="14" stopIfTrue="1">
      <formula>BF61="Water"</formula>
    </cfRule>
    <cfRule type="expression" dxfId="3715" priority="15" stopIfTrue="1">
      <formula>BG71="Water"</formula>
    </cfRule>
    <cfRule type="expression" dxfId="3714" priority="16" stopIfTrue="1">
      <formula>BG71="Land"</formula>
    </cfRule>
    <cfRule type="expression" dxfId="3713" priority="17" stopIfTrue="1">
      <formula>BF61="Land"</formula>
    </cfRule>
  </conditionalFormatting>
  <conditionalFormatting sqref="BF61:BF70">
    <cfRule type="expression" dxfId="3712" priority="12" stopIfTrue="1">
      <formula>BF61="Water"</formula>
    </cfRule>
    <cfRule type="expression" dxfId="3711" priority="13" stopIfTrue="1">
      <formula>BF61="Land"</formula>
    </cfRule>
  </conditionalFormatting>
  <conditionalFormatting sqref="BQ61:BQ70">
    <cfRule type="expression" dxfId="3710" priority="10" stopIfTrue="1">
      <formula>BQ61="Water"</formula>
    </cfRule>
    <cfRule type="expression" dxfId="3709" priority="11" stopIfTrue="1">
      <formula>BQ61="Land"</formula>
    </cfRule>
  </conditionalFormatting>
  <conditionalFormatting sqref="BQ60">
    <cfRule type="expression" dxfId="3708" priority="6" stopIfTrue="1">
      <formula>BQ61="Water"</formula>
    </cfRule>
    <cfRule type="expression" dxfId="3707" priority="7" stopIfTrue="1">
      <formula>BG60="Water"</formula>
    </cfRule>
    <cfRule type="expression" dxfId="3706" priority="8" stopIfTrue="1">
      <formula>BG60="Land"</formula>
    </cfRule>
    <cfRule type="expression" dxfId="3705" priority="9" stopIfTrue="1">
      <formula>BQ61="Land"</formula>
    </cfRule>
  </conditionalFormatting>
  <conditionalFormatting sqref="BF60">
    <cfRule type="expression" dxfId="3704" priority="2" stopIfTrue="1">
      <formula>BG60="Water"</formula>
    </cfRule>
    <cfRule type="expression" dxfId="3703" priority="3" stopIfTrue="1">
      <formula>BF61="Water"</formula>
    </cfRule>
    <cfRule type="expression" dxfId="3702" priority="4" stopIfTrue="1">
      <formula>BG60="Land"</formula>
    </cfRule>
    <cfRule type="expression" dxfId="3701" priority="5" stopIfTrue="1">
      <formula>BF61="Land"</formula>
    </cfRule>
  </conditionalFormatting>
  <conditionalFormatting sqref="BH62:BO69">
    <cfRule type="expression" dxfId="3700" priority="1">
      <formula>BH62&lt;&gt;""</formula>
    </cfRule>
  </conditionalFormatting>
  <dataValidations count="3">
    <dataValidation type="list" allowBlank="1" showInputMessage="1" showErrorMessage="1" sqref="D10 AU49:AV50 AX49:AY50 AU52:AV53 AX52:AY53 BA49:BB50 BA52:BB53 AU55:AV56 AX55:AY56 BA55:BB56 AU36:AV37 AX36:AY37 AU39:AV40 AX39:AY40 BA36:BB37 BA39:BB40 AU42:AV43 AX42:AY43 BA42:BB43 AU23:AV24 AX23:AY24 AU26:AV27 AX26:AY27 BA23:BB24 BA26:BB27 AU29:AV30 AX29:AY30 BA29:BB30 AU10:AV11 AX10:AY11 AU13:AV14 AX13:AY14 BA10:BB11 BA13:BB14 AU16:AV17 AX16:AY17 BA16:BB17 AH49:AI50 AK49:AL50 AH52:AI53 AK52:AL53 AN49:AO50 AN52:AO53 AH55:AI56 AK55:AL56 AN55:AO56 U49:V50 X49:Y50 U52:V53 X52:Y53 AA49:AB50 AA52:AB53 U55:V56 X55:Y56 AA55:AB56 H49:I50 K49:L50 H52:I53 K52:L53 N49:O50 N52:O53 H55:I56 K55:L56 N55:O56 AH36:AI37 AK36:AL37 AH39:AI40 AK39:AL40 AN36:AO37 AN39:AO40 AH42:AI43 AK42:AL43 AN42:AO43 U36:V37 X36:Y37 U39:V40 X39:Y40 AA36:AB37 AA39:AB40 U42:V43 X42:Y43 AA42:AB43 H36:I37 K36:L37 H39:I40 K39:L40 N36:O37 N39:O40 H42:I43 K42:L43 N42:O43 AH23:AI24 AK23:AL24 AH26:AI27 AK26:AL27 AN23:AO24 AN26:AO27 AH29:AI30 AK29:AL30 AN29:AO30 U23:V24 X23:Y24 U26:V27 X26:Y27 AA23:AB24 AA26:AB27 U29:V30 X29:Y30 AA29:AB30 H23:I24 K23:L24 H26:I27 K26:L27 N23:O24 N26:O27 H29:I30 K29:L30 N29:O30 AH10:AI11 AK10:AL11 AH13:AI14 AK13:AL14 AN10:AO11 AN13:AO14 AH16:AI17 AK16:AL17 AN16:AO17 U10:V11 X10:Y11 U13:V14 X13:Y14 AA10:AB11 AA13:AB14 U16:V17 X16:Y17 AA16:AB17 H10:I11 K10:L11 H13:I14 K13:L14 N10:O11 N13:O14 H16:I17 K16:L17 N16:O17 AU62:AV63 AX62:AY63 AU65:AV66 AX65:AY66 BA62:BB63 BA65:BB66 AU68:AV69 AX68:AY69 BA68:BB69 AH62:AI63 AK62:AL63 AH65:AI66 AK65:AL66 AN62:AO63 AN65:AO66 AH68:AI69 AK68:AL69 AN68:AO69 U62:V63 X62:Y63 U65:V66 X65:Y66 AA62:AB63 AA65:AB66 U68:V69 X68:Y69 AA68:AB69 H62:I63 K62:L63 H65:I66 K65:L66 N62:O63 N65:O66 H68:I69 K68:L69 N68:O69 BH49:BI50 BK49:BL50 BH52:BI53 BK52:BL53 BN49:BO50 BN52:BO53 BH55:BI56 BK55:BL56 BN55:BO56 BH36:BI37 BK36:BL37 BH39:BI40 BK39:BL40 BN36:BO37 BN39:BO40 BH42:BI43 BK42:BL43 BN42:BO43 BH23:BI24 BK23:BL24 BH26:BI27 BK26:BL27 BN23:BO24 BN26:BO27 BH29:BI30 BK29:BL30 BN29:BO30 BH10:BI11 BK10:BL11 BH13:BI14 BK13:BL14 BN10:BO11 BN13:BO14 BH16:BI17 BK16:BL17 BN16:BO17 BH62:BI63 BK62:BL63 BH65:BI66 BK65:BL66 BN62:BO63 BN65:BO66 BH68:BI69 BK68:BL69 BN68:BO69">
      <formula1>$A$9:$A$65</formula1>
    </dataValidation>
    <dataValidation type="list" allowBlank="1" showInputMessage="1" showErrorMessage="1" sqref="H9:O9 BC49:BC56 AT49:AT56 AU57:BB57 AU48:BB48 BC36:BC43 AT36:AT43 AU44:BB44 AU35:BB35 BC23:BC30 AT23:AT30 AU31:BB31 AU22:BB22 BC10:BC17 AT10:AT17 AU18:BB18 AU9:BB9 AP49:AP56 AG49:AG56 AH57:AO57 AH48:AO48 AC49:AC56 T49:T56 U57:AB57 U48:AB48 P49:P56 G49:G56 H57:O57 H48:O48 AP36:AP43 AG36:AG43 AH44:AO44 AH35:AO35 AC36:AC43 T36:T43 U44:AB44 U35:AB35 P36:P43 G36:G43 H44:O44 H35:O35 AP23:AP30 AG23:AG30 AH31:AO31 AH22:AO22 AC23:AC30 T23:T30 U31:AB31 U22:AB22 P23:P30 G23:G30 H31:O31 H22:O22 AP10:AP17 AG10:AG17 AH18:AO18 AH9:AO9 AC10:AC17 T10:T17 U18:AB18 U9:AB9 P10:P17 G10:G17 H18:O18 BC62:BC69 AT62:AT69 AU70:BB70 AU61:BB61 AP62:AP69 AG62:AG69 AH70:AO70 AH61:AO61 AC62:AC69 T62:T69 U70:AB70 U61:AB61 P62:P69 G62:G69 H70:O70 H61:O61 BP49:BP56 BG49:BG56 BH57:BO57 BH48:BO48 BP36:BP43 BG36:BG43 BH44:BO44 BH35:BO35 BP23:BP30 BG23:BG30 BH31:BO31 BH22:BO22 BP10:BP17 BG10:BG17 BH18:BO18 BH9:BO9 BP62:BP69 BG62:BG69 BH70:BO70 BH61:BO61">
      <formula1>$B$9:$B$10</formula1>
    </dataValidation>
    <dataValidation type="list" allowBlank="1" showInputMessage="1" showErrorMessage="1" sqref="G19:P19 AT47:BC47 BD48:BD57 AS48:AS57 AT58:BC58 AT34:BC34 BD35:BD44 AS35:AS44 AT45:BC45 AT21:BC21 BD22:BD31 AS22:AS31 AT32:BC32 AT8:BC8 BD9:BD18 AS9:AS18 AT19:BC19 AG47:AP47 AQ48:AQ57 AF48:AF57 AG58:AP58 T47:AC47 AD48:AD57 S48:S57 T58:AC58 G47:P47 Q48:Q57 F48:F57 G58:P58 AG34:AP34 AQ35:AQ44 AF35:AF44 AG45:AP45 T34:AC34 AD35:AD44 S35:S44 T45:AC45 G34:P34 Q35:Q44 F35:F44 G45:P45 AG21:AP21 AQ22:AQ31 AF22:AF31 AG32:AP32 T21:AC21 AD22:AD31 S22:S31 T32:AC32 G21:P21 Q22:Q31 F22:F31 G32:P32 AG8:AP8 AQ9:AQ18 AF9:AF18 AG19:AP19 T8:AC8 AD9:AD18 S9:S18 T19:AC19 G8:P8 Q9:Q18 F9:F18 AT60:BC60 BD61:BD70 AS61:AS70 AT71:BC71 AG60:AP60 AQ61:AQ70 AF61:AF70 AG71:AP71 T60:AC60 AD61:AD70 S61:S70 T71:AC71 G60:P60 Q61:Q70 F61:F70 G71:P71 BG47:BP47 BQ48:BQ57 BF48:BF57 BG58:BP58 BG34:BP34 BQ35:BQ44 BF35:BF44 BG45:BP45 BG21:BP21 BQ22:BQ31 BF22:BF31 BG32:BP32 BG8:BP8 BQ9:BQ18 BF9:BF18 BG19:BP19 BG60:BP60 BQ61:BQ70 BF61:BF70 BG71:BP71">
      <formula1>$C$9:$C$10</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horizontalDpi="4294967294" verticalDpi="0" r:id="rId1"/>
  <headerFooter>
    <oddHeader>&amp;A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H73"/>
  <sheetViews>
    <sheetView zoomScale="80" zoomScaleNormal="80" workbookViewId="0">
      <selection activeCell="D2" sqref="D2:T2"/>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288"/>
      <c r="V2" s="288"/>
      <c r="W2" s="288"/>
      <c r="X2" s="288"/>
      <c r="Y2" s="288"/>
      <c r="Z2" s="288"/>
      <c r="AA2" s="288"/>
      <c r="AB2" s="288"/>
      <c r="AC2" s="288"/>
      <c r="AD2" s="288"/>
      <c r="AF2" s="454" t="s">
        <v>96</v>
      </c>
      <c r="AG2" s="454"/>
      <c r="AH2" s="454"/>
      <c r="AI2" s="5"/>
      <c r="AJ2" s="46">
        <f>IF((BC66+IF(D2&lt;&gt;0,200,0))&gt;16000,16000, (BC66+IF(D2&lt;&gt;0,200,0)))</f>
        <v>0</v>
      </c>
      <c r="AK2" s="288"/>
      <c r="AL2" s="288"/>
      <c r="AM2" s="288"/>
      <c r="AN2" s="288"/>
      <c r="AO2" s="288"/>
      <c r="AP2" s="288"/>
      <c r="AQ2" s="288"/>
      <c r="AR2" s="288"/>
      <c r="AS2" s="288"/>
      <c r="AT2" s="28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290"/>
      <c r="AK3" s="11"/>
      <c r="AL3" s="11"/>
      <c r="AM3" s="11"/>
      <c r="AN3" s="11"/>
      <c r="AO3" s="11"/>
      <c r="AP3" s="11"/>
      <c r="AQ3" s="11"/>
      <c r="AR3" s="11"/>
      <c r="AS3" s="11"/>
      <c r="AT3" s="11"/>
      <c r="AU3" s="22"/>
    </row>
    <row r="4" spans="1:58" ht="15.75" thickBot="1" x14ac:dyDescent="0.3">
      <c r="A4" s="19"/>
      <c r="B4" s="292"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6.5" customHeight="1" thickBot="1" x14ac:dyDescent="0.3">
      <c r="A6" s="19"/>
      <c r="B6" s="292"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290"/>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290"/>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289"/>
      <c r="AL8" s="289"/>
      <c r="AM8" s="289"/>
      <c r="AN8" s="289"/>
      <c r="AO8" s="289"/>
      <c r="AP8" s="289"/>
      <c r="AQ8" s="289"/>
      <c r="AR8" s="289"/>
      <c r="AS8" s="289"/>
      <c r="AT8" s="289"/>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3" customHeight="1" thickBot="1" x14ac:dyDescent="0.3">
      <c r="A11" s="19"/>
      <c r="B11" s="72"/>
      <c r="D11" s="5"/>
      <c r="E11" s="288"/>
      <c r="F11" s="288"/>
      <c r="G11" s="288"/>
      <c r="H11" s="288"/>
      <c r="I11" s="288"/>
      <c r="J11" s="288"/>
      <c r="K11" s="288"/>
      <c r="L11" s="288"/>
      <c r="M11" s="288"/>
      <c r="N11" s="288"/>
      <c r="R11" s="5"/>
      <c r="T11" s="5"/>
      <c r="U11" s="288"/>
      <c r="V11" s="288"/>
      <c r="W11" s="288"/>
      <c r="X11" s="288"/>
      <c r="Y11" s="288"/>
      <c r="Z11" s="288"/>
      <c r="AA11" s="288"/>
      <c r="AB11" s="288"/>
      <c r="AC11" s="288"/>
      <c r="AD11" s="288"/>
      <c r="AF11" s="72"/>
      <c r="AG11" s="72"/>
      <c r="AH11" s="72"/>
      <c r="AI11" s="5"/>
      <c r="AJ11" s="5"/>
      <c r="AK11" s="288"/>
      <c r="AL11" s="288"/>
      <c r="AM11" s="288"/>
      <c r="AN11" s="288"/>
      <c r="AO11" s="288"/>
      <c r="AP11" s="288"/>
      <c r="AQ11" s="288"/>
      <c r="AR11" s="288"/>
      <c r="AS11" s="288"/>
      <c r="AT11" s="28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288"/>
      <c r="F13" s="288"/>
      <c r="G13" s="288"/>
      <c r="H13" s="288"/>
      <c r="I13" s="288"/>
      <c r="J13" s="288"/>
      <c r="K13" s="288"/>
      <c r="L13" s="288"/>
      <c r="M13" s="288"/>
      <c r="N13" s="288"/>
      <c r="R13" s="5"/>
      <c r="T13" s="5"/>
      <c r="U13" s="288"/>
      <c r="V13" s="288"/>
      <c r="W13" s="288"/>
      <c r="X13" s="288"/>
      <c r="Y13" s="288"/>
      <c r="Z13" s="288"/>
      <c r="AA13" s="288"/>
      <c r="AB13" s="288"/>
      <c r="AC13" s="288"/>
      <c r="AD13" s="288"/>
      <c r="AF13" s="72"/>
      <c r="AG13" s="72"/>
      <c r="AH13" s="72"/>
      <c r="AI13" s="5"/>
      <c r="AJ13" s="5"/>
      <c r="AK13" s="288"/>
      <c r="AL13" s="288"/>
      <c r="AM13" s="288"/>
      <c r="AN13" s="288"/>
      <c r="AO13" s="288"/>
      <c r="AP13" s="288"/>
      <c r="AQ13" s="288"/>
      <c r="AR13" s="288"/>
      <c r="AS13" s="288"/>
      <c r="AT13" s="28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292" t="s">
        <v>16</v>
      </c>
      <c r="Q14" s="292"/>
      <c r="R14" s="292"/>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288"/>
      <c r="F15" s="288"/>
      <c r="G15" s="288"/>
      <c r="H15" s="288"/>
      <c r="I15" s="288"/>
      <c r="J15" s="288"/>
      <c r="K15" s="288"/>
      <c r="L15" s="288"/>
      <c r="M15" s="288"/>
      <c r="N15" s="288"/>
      <c r="P15" s="72"/>
      <c r="Q15" s="72"/>
      <c r="R15" s="72"/>
      <c r="T15" s="5"/>
      <c r="U15" s="288"/>
      <c r="V15" s="288"/>
      <c r="W15" s="288"/>
      <c r="X15" s="288"/>
      <c r="Y15" s="288"/>
      <c r="Z15" s="288"/>
      <c r="AA15" s="288"/>
      <c r="AB15" s="288"/>
      <c r="AC15" s="288"/>
      <c r="AD15" s="288"/>
      <c r="AF15" s="72"/>
      <c r="AG15" s="72"/>
      <c r="AH15" s="72"/>
      <c r="AI15" s="5"/>
      <c r="AJ15" s="5"/>
      <c r="AK15" s="288"/>
      <c r="AL15" s="288"/>
      <c r="AM15" s="288"/>
      <c r="AN15" s="288"/>
      <c r="AO15" s="288"/>
      <c r="AP15" s="288"/>
      <c r="AQ15" s="288"/>
      <c r="AR15" s="288"/>
      <c r="AS15" s="288"/>
      <c r="AT15" s="28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292" t="s">
        <v>17</v>
      </c>
      <c r="Q16" s="292"/>
      <c r="R16" s="292"/>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288"/>
      <c r="F17" s="288"/>
      <c r="G17" s="288"/>
      <c r="H17" s="288"/>
      <c r="I17" s="288"/>
      <c r="J17" s="288"/>
      <c r="K17" s="288"/>
      <c r="L17" s="288"/>
      <c r="M17" s="288"/>
      <c r="N17" s="288"/>
      <c r="P17" s="72"/>
      <c r="Q17" s="72"/>
      <c r="R17" s="72"/>
      <c r="T17" s="5"/>
      <c r="U17" s="288"/>
      <c r="V17" s="288"/>
      <c r="W17" s="288"/>
      <c r="X17" s="288"/>
      <c r="Y17" s="288"/>
      <c r="Z17" s="288"/>
      <c r="AA17" s="288"/>
      <c r="AB17" s="288"/>
      <c r="AC17" s="288"/>
      <c r="AD17" s="288"/>
      <c r="AF17" s="72"/>
      <c r="AG17" s="72"/>
      <c r="AH17" s="72"/>
      <c r="AI17" s="5"/>
      <c r="AJ17" s="5"/>
      <c r="AK17" s="288"/>
      <c r="AL17" s="288"/>
      <c r="AM17" s="288"/>
      <c r="AN17" s="288"/>
      <c r="AO17" s="288"/>
      <c r="AP17" s="288"/>
      <c r="AQ17" s="288"/>
      <c r="AR17" s="288"/>
      <c r="AS17" s="288"/>
      <c r="AT17" s="28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292" t="s">
        <v>18</v>
      </c>
      <c r="Q18" s="292"/>
      <c r="R18" s="292"/>
      <c r="T18" s="57"/>
      <c r="U18" s="73">
        <v>1</v>
      </c>
      <c r="V18" s="73">
        <v>1</v>
      </c>
      <c r="W18" s="73"/>
      <c r="X18" s="73"/>
      <c r="Y18" s="73"/>
      <c r="Z18" s="73">
        <v>1</v>
      </c>
      <c r="AA18" s="73">
        <v>500</v>
      </c>
      <c r="AB18" s="73"/>
      <c r="AC18" s="73"/>
      <c r="AD18" s="73"/>
      <c r="AF18" s="292" t="s">
        <v>33</v>
      </c>
      <c r="AG18" s="292"/>
      <c r="AH18" s="292"/>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288"/>
      <c r="F19" s="288"/>
      <c r="G19" s="288"/>
      <c r="H19" s="288"/>
      <c r="I19" s="288"/>
      <c r="J19" s="288"/>
      <c r="K19" s="288"/>
      <c r="L19" s="288"/>
      <c r="M19" s="288"/>
      <c r="N19" s="288"/>
      <c r="P19" s="72"/>
      <c r="Q19" s="72"/>
      <c r="R19" s="72"/>
      <c r="T19" s="5"/>
      <c r="U19" s="288"/>
      <c r="V19" s="288"/>
      <c r="W19" s="288"/>
      <c r="X19" s="288"/>
      <c r="Y19" s="288"/>
      <c r="Z19" s="288"/>
      <c r="AA19" s="288"/>
      <c r="AB19" s="288"/>
      <c r="AC19" s="288"/>
      <c r="AD19" s="288"/>
      <c r="AF19" s="72"/>
      <c r="AG19" s="72"/>
      <c r="AH19" s="72"/>
      <c r="AI19" s="5"/>
      <c r="AJ19" s="5"/>
      <c r="AK19" s="288"/>
      <c r="AL19" s="288"/>
      <c r="AM19" s="288"/>
      <c r="AN19" s="288"/>
      <c r="AO19" s="288"/>
      <c r="AP19" s="288"/>
      <c r="AQ19" s="288"/>
      <c r="AR19" s="288"/>
      <c r="AS19" s="288"/>
      <c r="AT19" s="28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292" t="s">
        <v>19</v>
      </c>
      <c r="Q20" s="292"/>
      <c r="R20" s="292"/>
      <c r="T20" s="57"/>
      <c r="U20" s="73"/>
      <c r="V20" s="73">
        <v>2</v>
      </c>
      <c r="W20" s="73">
        <v>2</v>
      </c>
      <c r="X20" s="73"/>
      <c r="Y20" s="73">
        <v>-2</v>
      </c>
      <c r="Z20" s="73">
        <v>1</v>
      </c>
      <c r="AA20" s="73"/>
      <c r="AB20" s="73"/>
      <c r="AC20" s="73"/>
      <c r="AD20" s="73"/>
      <c r="AF20" s="292" t="s">
        <v>34</v>
      </c>
      <c r="AG20" s="292"/>
      <c r="AH20" s="292"/>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288"/>
      <c r="F21" s="288"/>
      <c r="G21" s="288"/>
      <c r="H21" s="288"/>
      <c r="I21" s="288"/>
      <c r="J21" s="288"/>
      <c r="K21" s="288"/>
      <c r="L21" s="288"/>
      <c r="M21" s="288"/>
      <c r="N21" s="288"/>
      <c r="P21" s="72"/>
      <c r="Q21" s="72"/>
      <c r="R21" s="72"/>
      <c r="T21" s="5"/>
      <c r="U21" s="288"/>
      <c r="V21" s="288"/>
      <c r="W21" s="288"/>
      <c r="X21" s="288"/>
      <c r="Y21" s="288"/>
      <c r="Z21" s="288"/>
      <c r="AA21" s="288"/>
      <c r="AB21" s="288"/>
      <c r="AC21" s="288"/>
      <c r="AD21" s="288"/>
      <c r="AF21" s="72"/>
      <c r="AG21" s="72"/>
      <c r="AH21" s="72"/>
      <c r="AI21" s="5"/>
      <c r="AJ21" s="5"/>
      <c r="AK21" s="288"/>
      <c r="AL21" s="288"/>
      <c r="AM21" s="288"/>
      <c r="AN21" s="288"/>
      <c r="AO21" s="288"/>
      <c r="AP21" s="288"/>
      <c r="AQ21" s="288"/>
      <c r="AR21" s="288"/>
      <c r="AS21" s="288"/>
      <c r="AT21" s="28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292" t="s">
        <v>20</v>
      </c>
      <c r="Q22" s="292"/>
      <c r="R22" s="292"/>
      <c r="T22" s="57"/>
      <c r="U22" s="73">
        <v>1</v>
      </c>
      <c r="V22" s="73">
        <v>1</v>
      </c>
      <c r="W22" s="73"/>
      <c r="X22" s="73"/>
      <c r="Y22" s="73"/>
      <c r="Z22" s="73">
        <v>1</v>
      </c>
      <c r="AA22" s="73"/>
      <c r="AB22" s="73"/>
      <c r="AC22" s="73"/>
      <c r="AD22" s="73"/>
      <c r="AF22" s="292" t="s">
        <v>35</v>
      </c>
      <c r="AG22" s="292"/>
      <c r="AH22" s="292"/>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288"/>
      <c r="F23" s="288"/>
      <c r="G23" s="288"/>
      <c r="H23" s="288"/>
      <c r="I23" s="288"/>
      <c r="J23" s="288"/>
      <c r="K23" s="288"/>
      <c r="L23" s="288"/>
      <c r="M23" s="288"/>
      <c r="N23" s="288"/>
      <c r="O23" s="11"/>
      <c r="P23" s="72"/>
      <c r="Q23" s="72"/>
      <c r="R23" s="72"/>
      <c r="T23" s="11"/>
      <c r="U23" s="288"/>
      <c r="V23" s="288"/>
      <c r="W23" s="288"/>
      <c r="X23" s="288"/>
      <c r="Y23" s="288"/>
      <c r="Z23" s="288"/>
      <c r="AA23" s="288"/>
      <c r="AB23" s="288"/>
      <c r="AC23" s="288"/>
      <c r="AD23" s="288"/>
      <c r="AF23" s="72"/>
      <c r="AG23" s="72"/>
      <c r="AH23" s="72"/>
      <c r="AI23" s="5"/>
      <c r="AJ23" s="5"/>
      <c r="AK23" s="288"/>
      <c r="AL23" s="288"/>
      <c r="AM23" s="288"/>
      <c r="AN23" s="288"/>
      <c r="AO23" s="288"/>
      <c r="AP23" s="288"/>
      <c r="AQ23" s="288"/>
      <c r="AR23" s="288"/>
      <c r="AS23" s="288"/>
      <c r="AT23" s="28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292" t="s">
        <v>21</v>
      </c>
      <c r="Q24" s="292"/>
      <c r="R24" s="292"/>
      <c r="T24" s="57"/>
      <c r="U24" s="73">
        <v>1</v>
      </c>
      <c r="V24" s="73"/>
      <c r="W24" s="73"/>
      <c r="X24" s="73"/>
      <c r="Y24" s="73"/>
      <c r="Z24" s="73">
        <v>1</v>
      </c>
      <c r="AA24" s="73">
        <v>2000</v>
      </c>
      <c r="AB24" s="73">
        <v>2</v>
      </c>
      <c r="AC24" s="73"/>
      <c r="AD24" s="73"/>
      <c r="AF24" s="292" t="s">
        <v>36</v>
      </c>
      <c r="AG24" s="292"/>
      <c r="AH24" s="292"/>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291"/>
      <c r="F25" s="291"/>
      <c r="G25" s="291"/>
      <c r="H25" s="291"/>
      <c r="I25" s="291"/>
      <c r="J25" s="291"/>
      <c r="K25" s="291"/>
      <c r="L25" s="291"/>
      <c r="M25" s="291"/>
      <c r="N25" s="291"/>
      <c r="P25" s="72"/>
      <c r="Q25" s="72"/>
      <c r="R25" s="72"/>
      <c r="T25" s="5"/>
      <c r="U25" s="291"/>
      <c r="V25" s="291"/>
      <c r="W25" s="291"/>
      <c r="X25" s="291"/>
      <c r="Y25" s="291"/>
      <c r="Z25" s="291"/>
      <c r="AA25" s="291"/>
      <c r="AB25" s="291"/>
      <c r="AC25" s="291"/>
      <c r="AD25" s="291"/>
      <c r="AF25" s="72"/>
      <c r="AG25" s="72"/>
      <c r="AH25" s="72"/>
      <c r="AI25" s="5"/>
      <c r="AJ25" s="5"/>
      <c r="AK25" s="291"/>
      <c r="AL25" s="291"/>
      <c r="AM25" s="291"/>
      <c r="AN25" s="291"/>
      <c r="AO25" s="291"/>
      <c r="AP25" s="291"/>
      <c r="AQ25" s="291"/>
      <c r="AR25" s="291"/>
      <c r="AS25" s="291"/>
      <c r="AT25" s="291"/>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292" t="s">
        <v>37</v>
      </c>
      <c r="AG26" s="292"/>
      <c r="AH26" s="292"/>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288"/>
      <c r="F27" s="288"/>
      <c r="G27" s="288"/>
      <c r="H27" s="288"/>
      <c r="I27" s="288"/>
      <c r="J27" s="288">
        <v>4</v>
      </c>
      <c r="K27" s="288"/>
      <c r="L27" s="288"/>
      <c r="M27" s="288"/>
      <c r="N27" s="288"/>
      <c r="P27" s="62"/>
      <c r="Q27" s="62"/>
      <c r="R27" s="62"/>
      <c r="T27" s="5"/>
      <c r="U27" s="288"/>
      <c r="V27" s="288"/>
      <c r="W27" s="288"/>
      <c r="X27" s="288"/>
      <c r="Y27" s="288"/>
      <c r="Z27" s="288"/>
      <c r="AA27" s="288"/>
      <c r="AB27" s="288"/>
      <c r="AC27" s="288"/>
      <c r="AD27" s="288"/>
      <c r="AF27" s="72"/>
      <c r="AG27" s="72"/>
      <c r="AH27" s="72"/>
      <c r="AI27" s="5"/>
      <c r="AJ27" s="5"/>
      <c r="AK27" s="288"/>
      <c r="AL27" s="288"/>
      <c r="AM27" s="288"/>
      <c r="AN27" s="288"/>
      <c r="AO27" s="288"/>
      <c r="AP27" s="288"/>
      <c r="AQ27" s="288"/>
      <c r="AR27" s="288"/>
      <c r="AS27" s="288"/>
      <c r="AT27" s="28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292" t="s">
        <v>23</v>
      </c>
      <c r="Q28" s="292"/>
      <c r="R28" s="292"/>
      <c r="T28" s="57"/>
      <c r="U28" s="73"/>
      <c r="V28" s="73"/>
      <c r="W28" s="73">
        <v>1</v>
      </c>
      <c r="X28" s="73"/>
      <c r="Y28" s="73"/>
      <c r="Z28" s="73">
        <v>1</v>
      </c>
      <c r="AA28" s="73"/>
      <c r="AB28" s="73"/>
      <c r="AC28" s="73"/>
      <c r="AD28" s="73"/>
      <c r="AF28" s="292" t="s">
        <v>38</v>
      </c>
      <c r="AG28" s="292"/>
      <c r="AH28" s="292"/>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288"/>
      <c r="F29" s="288"/>
      <c r="G29" s="288"/>
      <c r="H29" s="288"/>
      <c r="I29" s="288"/>
      <c r="J29" s="288"/>
      <c r="K29" s="288"/>
      <c r="L29" s="288"/>
      <c r="M29" s="288"/>
      <c r="N29" s="288"/>
      <c r="P29" s="72"/>
      <c r="Q29" s="72"/>
      <c r="R29" s="72"/>
      <c r="T29" s="5"/>
      <c r="U29" s="288"/>
      <c r="V29" s="288"/>
      <c r="W29" s="288"/>
      <c r="X29" s="288"/>
      <c r="Y29" s="288"/>
      <c r="Z29" s="288"/>
      <c r="AA29" s="288"/>
      <c r="AB29" s="288"/>
      <c r="AC29" s="288"/>
      <c r="AD29" s="288"/>
      <c r="AF29" s="72"/>
      <c r="AG29" s="72"/>
      <c r="AH29" s="72"/>
      <c r="AI29" s="5"/>
      <c r="AJ29" s="5"/>
      <c r="AK29" s="288"/>
      <c r="AL29" s="288"/>
      <c r="AM29" s="288"/>
      <c r="AN29" s="288"/>
      <c r="AO29" s="288"/>
      <c r="AP29" s="288"/>
      <c r="AQ29" s="288"/>
      <c r="AR29" s="288"/>
      <c r="AS29" s="288"/>
      <c r="AT29" s="28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292" t="s">
        <v>24</v>
      </c>
      <c r="Q30" s="292"/>
      <c r="R30" s="292"/>
      <c r="T30" s="57"/>
      <c r="U30" s="73">
        <v>2</v>
      </c>
      <c r="V30" s="73"/>
      <c r="W30" s="73">
        <v>2</v>
      </c>
      <c r="X30" s="73"/>
      <c r="Y30" s="73"/>
      <c r="Z30" s="73">
        <v>2</v>
      </c>
      <c r="AA30" s="73">
        <v>2000</v>
      </c>
      <c r="AB30" s="73">
        <v>2</v>
      </c>
      <c r="AC30" s="73"/>
      <c r="AD30" s="73"/>
      <c r="AF30" s="292" t="s">
        <v>39</v>
      </c>
      <c r="AG30" s="292"/>
      <c r="AH30" s="292"/>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288"/>
      <c r="F31" s="288"/>
      <c r="G31" s="288"/>
      <c r="H31" s="288"/>
      <c r="I31" s="288"/>
      <c r="J31" s="288"/>
      <c r="K31" s="288"/>
      <c r="L31" s="288"/>
      <c r="M31" s="288"/>
      <c r="N31" s="288"/>
      <c r="P31" s="72"/>
      <c r="Q31" s="72"/>
      <c r="R31" s="72"/>
      <c r="T31" s="5"/>
      <c r="U31" s="288"/>
      <c r="V31" s="288"/>
      <c r="W31" s="288"/>
      <c r="X31" s="288"/>
      <c r="Y31" s="288"/>
      <c r="Z31" s="288"/>
      <c r="AA31" s="288"/>
      <c r="AB31" s="288"/>
      <c r="AC31" s="288"/>
      <c r="AD31" s="288"/>
      <c r="AF31" s="72"/>
      <c r="AG31" s="72"/>
      <c r="AH31" s="72"/>
      <c r="AI31" s="5"/>
      <c r="AJ31" s="5"/>
      <c r="AK31" s="288"/>
      <c r="AL31" s="288"/>
      <c r="AM31" s="288"/>
      <c r="AN31" s="288"/>
      <c r="AO31" s="288"/>
      <c r="AP31" s="288"/>
      <c r="AQ31" s="288"/>
      <c r="AR31" s="288"/>
      <c r="AS31" s="288"/>
      <c r="AT31" s="28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292" t="s">
        <v>25</v>
      </c>
      <c r="Q32" s="292"/>
      <c r="R32" s="292"/>
      <c r="T32" s="57"/>
      <c r="U32" s="73">
        <v>1</v>
      </c>
      <c r="V32" s="73"/>
      <c r="W32" s="73">
        <v>1</v>
      </c>
      <c r="X32" s="73"/>
      <c r="Y32" s="73"/>
      <c r="Z32" s="73">
        <v>1</v>
      </c>
      <c r="AA32" s="73"/>
      <c r="AB32" s="73"/>
      <c r="AC32" s="73"/>
      <c r="AD32" s="73"/>
      <c r="AF32" s="292" t="s">
        <v>40</v>
      </c>
      <c r="AG32" s="292"/>
      <c r="AH32" s="292"/>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288"/>
      <c r="F33" s="288"/>
      <c r="G33" s="288"/>
      <c r="H33" s="288"/>
      <c r="I33" s="288"/>
      <c r="J33" s="288"/>
      <c r="K33" s="288"/>
      <c r="L33" s="288"/>
      <c r="M33" s="288"/>
      <c r="N33" s="288"/>
      <c r="P33" s="72"/>
      <c r="Q33" s="72"/>
      <c r="R33" s="72"/>
      <c r="T33" s="5"/>
      <c r="U33" s="288"/>
      <c r="V33" s="288"/>
      <c r="W33" s="288"/>
      <c r="X33" s="288"/>
      <c r="Y33" s="288"/>
      <c r="Z33" s="288"/>
      <c r="AA33" s="288"/>
      <c r="AB33" s="288"/>
      <c r="AC33" s="288"/>
      <c r="AD33" s="288"/>
      <c r="AF33" s="72"/>
      <c r="AG33" s="72"/>
      <c r="AH33" s="72"/>
      <c r="AI33" s="5"/>
      <c r="AJ33" s="5"/>
      <c r="AK33" s="288"/>
      <c r="AL33" s="288"/>
      <c r="AM33" s="288"/>
      <c r="AN33" s="288"/>
      <c r="AO33" s="288"/>
      <c r="AP33" s="288"/>
      <c r="AQ33" s="288"/>
      <c r="AR33" s="288"/>
      <c r="AS33" s="288"/>
      <c r="AT33" s="28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292" t="s">
        <v>26</v>
      </c>
      <c r="Q34" s="292"/>
      <c r="R34" s="292"/>
      <c r="T34" s="57"/>
      <c r="U34" s="73"/>
      <c r="V34" s="73">
        <v>3</v>
      </c>
      <c r="W34" s="73"/>
      <c r="X34" s="73"/>
      <c r="Y34" s="73">
        <v>-1</v>
      </c>
      <c r="Z34" s="73">
        <v>1</v>
      </c>
      <c r="AA34" s="73"/>
      <c r="AB34" s="73"/>
      <c r="AC34" s="73"/>
      <c r="AD34" s="73"/>
      <c r="AF34" s="292" t="s">
        <v>41</v>
      </c>
      <c r="AG34" s="292"/>
      <c r="AH34" s="292"/>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288"/>
      <c r="F35" s="288"/>
      <c r="G35" s="288"/>
      <c r="H35" s="288"/>
      <c r="I35" s="288"/>
      <c r="J35" s="288"/>
      <c r="K35" s="288"/>
      <c r="L35" s="288"/>
      <c r="M35" s="288"/>
      <c r="N35" s="288"/>
      <c r="P35" s="72"/>
      <c r="Q35" s="72"/>
      <c r="R35" s="72"/>
      <c r="T35" s="5"/>
      <c r="U35" s="288"/>
      <c r="V35" s="288"/>
      <c r="W35" s="288"/>
      <c r="X35" s="288"/>
      <c r="Y35" s="288"/>
      <c r="Z35" s="288"/>
      <c r="AA35" s="288"/>
      <c r="AB35" s="288"/>
      <c r="AC35" s="288"/>
      <c r="AD35" s="288"/>
      <c r="AF35" s="72"/>
      <c r="AG35" s="72"/>
      <c r="AH35" s="72"/>
      <c r="AI35" s="5"/>
      <c r="AJ35" s="5"/>
      <c r="AK35" s="288"/>
      <c r="AL35" s="288"/>
      <c r="AM35" s="288"/>
      <c r="AN35" s="288"/>
      <c r="AO35" s="288"/>
      <c r="AP35" s="288"/>
      <c r="AQ35" s="288"/>
      <c r="AR35" s="288"/>
      <c r="AS35" s="288"/>
      <c r="AT35" s="28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292" t="s">
        <v>27</v>
      </c>
      <c r="Q36" s="292"/>
      <c r="R36" s="292"/>
      <c r="T36" s="57"/>
      <c r="U36" s="73">
        <v>1</v>
      </c>
      <c r="V36" s="73">
        <v>1</v>
      </c>
      <c r="W36" s="73">
        <v>1</v>
      </c>
      <c r="X36" s="73"/>
      <c r="Y36" s="73"/>
      <c r="Z36" s="73">
        <v>2</v>
      </c>
      <c r="AA36" s="73"/>
      <c r="AB36" s="73"/>
      <c r="AC36" s="73"/>
      <c r="AD36" s="73"/>
      <c r="AF36" s="292" t="s">
        <v>42</v>
      </c>
      <c r="AG36" s="292"/>
      <c r="AH36" s="292"/>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288"/>
      <c r="F37" s="288"/>
      <c r="G37" s="288"/>
      <c r="H37" s="288"/>
      <c r="I37" s="288"/>
      <c r="J37" s="288"/>
      <c r="K37" s="288"/>
      <c r="L37" s="288"/>
      <c r="M37" s="288"/>
      <c r="N37" s="288"/>
      <c r="P37" s="72"/>
      <c r="Q37" s="72"/>
      <c r="R37" s="72"/>
      <c r="T37" s="5"/>
      <c r="U37" s="288"/>
      <c r="V37" s="288"/>
      <c r="W37" s="288"/>
      <c r="X37" s="288"/>
      <c r="Y37" s="288"/>
      <c r="Z37" s="288"/>
      <c r="AA37" s="288"/>
      <c r="AB37" s="288"/>
      <c r="AC37" s="288"/>
      <c r="AD37" s="288"/>
      <c r="AF37" s="72"/>
      <c r="AG37" s="72"/>
      <c r="AH37" s="72"/>
      <c r="AI37" s="5"/>
      <c r="AJ37" s="5"/>
      <c r="AK37" s="288"/>
      <c r="AL37" s="288"/>
      <c r="AM37" s="288"/>
      <c r="AN37" s="288"/>
      <c r="AO37" s="288"/>
      <c r="AP37" s="288"/>
      <c r="AQ37" s="288"/>
      <c r="AR37" s="288"/>
      <c r="AS37" s="288"/>
      <c r="AT37" s="28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292" t="s">
        <v>28</v>
      </c>
      <c r="Q38" s="292"/>
      <c r="R38" s="292"/>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290"/>
      <c r="AX39" s="290"/>
      <c r="AY39" s="290"/>
      <c r="AZ39" s="290"/>
      <c r="BA39" s="290"/>
      <c r="BB39" s="290">
        <f t="shared" si="0"/>
        <v>0</v>
      </c>
      <c r="BC39" s="290"/>
      <c r="BD39" s="290"/>
      <c r="BE39" s="290"/>
      <c r="BF39" s="290"/>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289"/>
      <c r="AL40" s="289"/>
      <c r="AM40" s="289"/>
      <c r="AN40" s="289"/>
      <c r="AO40" s="289"/>
      <c r="AP40" s="289"/>
      <c r="AQ40" s="289"/>
      <c r="AR40" s="289"/>
      <c r="AS40" s="289"/>
      <c r="AT40" s="289"/>
      <c r="AU40" s="18"/>
    </row>
    <row r="41" spans="1:60" ht="3" customHeight="1" thickBot="1" x14ac:dyDescent="0.3">
      <c r="A41" s="19"/>
      <c r="B41" s="72"/>
      <c r="D41" s="5"/>
      <c r="E41" s="288"/>
      <c r="F41" s="288"/>
      <c r="G41" s="288"/>
      <c r="H41" s="288"/>
      <c r="I41" s="288"/>
      <c r="J41" s="288">
        <v>4</v>
      </c>
      <c r="K41" s="288"/>
      <c r="L41" s="288"/>
      <c r="M41" s="288"/>
      <c r="N41" s="288"/>
      <c r="P41" s="62"/>
      <c r="Q41" s="62"/>
      <c r="R41" s="62"/>
      <c r="T41" s="5"/>
      <c r="U41" s="288"/>
      <c r="V41" s="288"/>
      <c r="W41" s="288"/>
      <c r="X41" s="288"/>
      <c r="Y41" s="288"/>
      <c r="Z41" s="288"/>
      <c r="AA41" s="288"/>
      <c r="AB41" s="288"/>
      <c r="AC41" s="288"/>
      <c r="AD41" s="288"/>
      <c r="AF41" s="72"/>
      <c r="AG41" s="72"/>
      <c r="AH41" s="72"/>
      <c r="AI41" s="5"/>
      <c r="AJ41" s="5"/>
      <c r="AK41" s="288"/>
      <c r="AL41" s="288"/>
      <c r="AM41" s="288"/>
      <c r="AN41" s="288"/>
      <c r="AO41" s="288"/>
      <c r="AP41" s="288"/>
      <c r="AQ41" s="288"/>
      <c r="AR41" s="288"/>
      <c r="AS41" s="288"/>
      <c r="AT41" s="288"/>
      <c r="AU41" s="18"/>
      <c r="AW41" s="290"/>
      <c r="AX41" s="290"/>
      <c r="AY41" s="290"/>
      <c r="AZ41" s="290"/>
      <c r="BA41" s="290"/>
      <c r="BB41" s="290">
        <f t="shared" ref="BB41:BB48" si="1">$D41*J41+$T41*Z41+$AJ41*AP41</f>
        <v>0</v>
      </c>
      <c r="BC41" s="290"/>
      <c r="BD41" s="290"/>
      <c r="BE41" s="290"/>
      <c r="BF41" s="290"/>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288"/>
      <c r="F43" s="288"/>
      <c r="G43" s="288"/>
      <c r="H43" s="288"/>
      <c r="I43" s="288"/>
      <c r="J43" s="288"/>
      <c r="K43" s="288"/>
      <c r="L43" s="288"/>
      <c r="M43" s="288"/>
      <c r="N43" s="288"/>
      <c r="P43" s="72"/>
      <c r="Q43" s="72"/>
      <c r="R43" s="72"/>
      <c r="T43" s="5"/>
      <c r="U43" s="288"/>
      <c r="V43" s="288"/>
      <c r="W43" s="288"/>
      <c r="X43" s="288"/>
      <c r="Y43" s="288"/>
      <c r="Z43" s="288"/>
      <c r="AA43" s="288"/>
      <c r="AB43" s="288"/>
      <c r="AC43" s="288"/>
      <c r="AD43" s="288"/>
      <c r="AF43" s="72"/>
      <c r="AG43" s="72"/>
      <c r="AH43" s="72"/>
      <c r="AI43" s="5"/>
      <c r="AJ43" s="5"/>
      <c r="AK43" s="288"/>
      <c r="AL43" s="288"/>
      <c r="AM43" s="288"/>
      <c r="AN43" s="288"/>
      <c r="AO43" s="288"/>
      <c r="AP43" s="288"/>
      <c r="AQ43" s="288"/>
      <c r="AR43" s="288"/>
      <c r="AS43" s="288"/>
      <c r="AT43" s="28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288"/>
      <c r="F45" s="288"/>
      <c r="G45" s="288"/>
      <c r="H45" s="288"/>
      <c r="I45" s="288"/>
      <c r="J45" s="288"/>
      <c r="K45" s="288"/>
      <c r="L45" s="288"/>
      <c r="M45" s="288"/>
      <c r="N45" s="288"/>
      <c r="P45" s="72"/>
      <c r="Q45" s="72"/>
      <c r="R45" s="72"/>
      <c r="T45" s="5"/>
      <c r="U45" s="288"/>
      <c r="V45" s="288"/>
      <c r="W45" s="288"/>
      <c r="X45" s="288"/>
      <c r="Y45" s="288"/>
      <c r="Z45" s="288"/>
      <c r="AA45" s="288"/>
      <c r="AB45" s="288"/>
      <c r="AC45" s="288"/>
      <c r="AD45" s="288"/>
      <c r="AF45" s="72"/>
      <c r="AG45" s="72"/>
      <c r="AH45" s="72"/>
      <c r="AI45" s="5"/>
      <c r="AJ45" s="5"/>
      <c r="AK45" s="288"/>
      <c r="AL45" s="288"/>
      <c r="AM45" s="288"/>
      <c r="AN45" s="288"/>
      <c r="AO45" s="288"/>
      <c r="AP45" s="288"/>
      <c r="AQ45" s="288"/>
      <c r="AR45" s="288"/>
      <c r="AS45" s="288"/>
      <c r="AT45" s="28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288"/>
      <c r="F47" s="288"/>
      <c r="G47" s="288"/>
      <c r="H47" s="288"/>
      <c r="I47" s="288"/>
      <c r="J47" s="288"/>
      <c r="K47" s="288"/>
      <c r="L47" s="288"/>
      <c r="M47" s="288"/>
      <c r="N47" s="288"/>
      <c r="P47" s="72"/>
      <c r="Q47" s="72"/>
      <c r="R47" s="72"/>
      <c r="T47" s="5"/>
      <c r="U47" s="288"/>
      <c r="V47" s="288"/>
      <c r="W47" s="288"/>
      <c r="X47" s="288"/>
      <c r="Y47" s="288"/>
      <c r="Z47" s="288"/>
      <c r="AA47" s="288"/>
      <c r="AB47" s="288"/>
      <c r="AC47" s="288"/>
      <c r="AD47" s="288"/>
      <c r="AF47" s="72"/>
      <c r="AG47" s="72"/>
      <c r="AH47" s="72"/>
      <c r="AI47" s="5"/>
      <c r="AJ47" s="5"/>
      <c r="AK47" s="288"/>
      <c r="AL47" s="288"/>
      <c r="AM47" s="288"/>
      <c r="AN47" s="288"/>
      <c r="AO47" s="288"/>
      <c r="AP47" s="288"/>
      <c r="AQ47" s="288"/>
      <c r="AR47" s="288"/>
      <c r="AS47" s="288"/>
      <c r="AT47" s="28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290"/>
      <c r="AX49" s="290"/>
      <c r="AY49" s="290"/>
      <c r="AZ49" s="290"/>
      <c r="BA49" s="290"/>
      <c r="BB49" s="290">
        <f t="shared" si="0"/>
        <v>0</v>
      </c>
      <c r="BC49" s="290"/>
      <c r="BD49" s="290"/>
      <c r="BE49" s="290"/>
      <c r="BF49" s="290"/>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289"/>
      <c r="AL50" s="289"/>
      <c r="AM50" s="289"/>
      <c r="AN50" s="289"/>
      <c r="AO50" s="289"/>
      <c r="AP50" s="289"/>
      <c r="AQ50" s="289"/>
      <c r="AR50" s="289"/>
      <c r="AS50" s="289"/>
      <c r="AT50" s="289"/>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292"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290"/>
      <c r="AX52" s="290"/>
      <c r="AY52" s="290"/>
      <c r="AZ52" s="290"/>
      <c r="BA52" s="290"/>
      <c r="BB52" s="290"/>
      <c r="BC52" s="290"/>
      <c r="BD52" s="290"/>
      <c r="BE52" s="290"/>
      <c r="BF52" s="290"/>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290"/>
      <c r="AX53" s="290"/>
      <c r="AY53" s="290"/>
      <c r="AZ53" s="290"/>
      <c r="BA53" s="290"/>
      <c r="BB53" s="290">
        <f t="shared" ref="BB53:BB65" si="2">$D53*J53+$T53*Z53+$AJ53*AP53</f>
        <v>0</v>
      </c>
      <c r="BC53" s="290"/>
      <c r="BD53" s="290"/>
      <c r="BE53" s="290"/>
      <c r="BF53" s="290"/>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288"/>
      <c r="AL66" s="288"/>
      <c r="AM66" s="288"/>
      <c r="AN66" s="288"/>
      <c r="AO66" s="288"/>
      <c r="AP66" s="288"/>
      <c r="AQ66" s="288"/>
      <c r="AR66" s="288"/>
      <c r="AS66" s="288"/>
      <c r="AT66" s="28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75"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B64:D64"/>
    <mergeCell ref="P64:T64"/>
    <mergeCell ref="AF64:AJ64"/>
    <mergeCell ref="B66:AJ66"/>
    <mergeCell ref="B68:AJ71"/>
    <mergeCell ref="B60:D60"/>
    <mergeCell ref="P60:T60"/>
    <mergeCell ref="AF60:AJ60"/>
    <mergeCell ref="B62:D62"/>
    <mergeCell ref="P62:T62"/>
    <mergeCell ref="AF62:AJ62"/>
    <mergeCell ref="AF14:AH14"/>
    <mergeCell ref="D2:T2"/>
    <mergeCell ref="AF2:AH2"/>
    <mergeCell ref="P4:R4"/>
    <mergeCell ref="AF4:AH4"/>
    <mergeCell ref="P6:R6"/>
    <mergeCell ref="AF6:AH6"/>
    <mergeCell ref="P12:R12"/>
    <mergeCell ref="AF12:AH12"/>
    <mergeCell ref="B8:AJ8"/>
    <mergeCell ref="P10:R10"/>
    <mergeCell ref="AF10:AH10"/>
    <mergeCell ref="P44:R44"/>
    <mergeCell ref="AF44:AH44"/>
    <mergeCell ref="P46:R46"/>
    <mergeCell ref="AF46:AH46"/>
    <mergeCell ref="AF16:AH16"/>
    <mergeCell ref="P26:R26"/>
    <mergeCell ref="B40:AJ40"/>
    <mergeCell ref="P42:R42"/>
    <mergeCell ref="AF42:AH42"/>
    <mergeCell ref="P48:R48"/>
    <mergeCell ref="AF48:AH48"/>
    <mergeCell ref="B50:AJ50"/>
    <mergeCell ref="B54:D54"/>
    <mergeCell ref="P54:T54"/>
    <mergeCell ref="AF54:AJ54"/>
    <mergeCell ref="P52:R52"/>
    <mergeCell ref="AF52:AH52"/>
    <mergeCell ref="B56:D56"/>
    <mergeCell ref="P56:T56"/>
    <mergeCell ref="AF56:AJ56"/>
    <mergeCell ref="B58:D58"/>
    <mergeCell ref="P58:T58"/>
    <mergeCell ref="AF58:AJ58"/>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Physician (10 BP)" prompt="A healer and surgery, caring for the people._x000a__x000a_+1 Loyalty, +1 Stability, -1 Unrest" sqref="AJ48"/>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Barracks (6 BP)" prompt="A building to house city guards, militia, and military forces. _x000a__x000a_Defense Modifier +2; Unrest –1." sqref="D16"/>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rothel (4 BP)" prompt="[Must be adjacent to one house]_x000a__x000a_A place to pay for companionship of any sort. _x000a__x000a_Economy +1, Loyalty +2; Unrest +1." sqref="D22"/>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Aviary (8 BP)" prompt="A building to cultivate birds to keep the area free from small pests and to send messages._x000a__x000a_Stability +2" sqref="D44"/>
    <dataValidation allowBlank="1" showInputMessage="1" showErrorMessage="1" promptTitle="Butcher (6 BP)" prompt="A building for slaughtering animals and selling meat._x000a__x000a_Loyalty +1, Economy +1" sqref="D48"/>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Graveyard (4 BP)" prompt="A plot of land to honor and bury the dead. _x000a__x000a_Loyalty +1." sqref="T10"/>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Mansion (10 BP)" prompt="A single huge manor housing a rich family and its servants. _x000a__x000a_Stability +1." sqref="T28"/>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Park (4 BP)" prompt="A plot of land set aside for its natural beauty._x000a__x000a_Loyalty +1; Unrest –1." sqref="T38"/>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Shrine (8 BP)" prompt="A small shrine or similar holy site. _x000a__x000a_1 minor item; _x000a__x000a_Loyalty +1; Unrest –1." sqref="AJ14"/>
    <dataValidation allowBlank="1" showInputMessage="1" showErrorMessage="1" promptTitle="Smith (6 BP)" prompt="An armor smith, blacksmith, or weapon smith. _x000a__x000a_Economy +1, Stability +1." sqref="AJ16"/>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Weaver (6 BP)" prompt="A building for weaving fabric and making clothes._x000a__x000a_Economy +1, Stability +1" sqref="AJ44"/>
    <dataValidation allowBlank="1" showInputMessage="1" showErrorMessage="1" promptTitle="Witches Hut (20 BP)" prompt="The home and brewery for a witch._x000a__x000a_2 minor items, 1 medium item._x000a__x000a_Economy +1, Unrest +1" sqref="AJ46"/>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Monastery (6 BP)" prompt="A place for monks to gather, train and worship._x000a__x000a_Loyalty +1, Stability +1" sqref="T48"/>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Watchtower (12 BP)" prompt="A tall structure that serves as a guard post and landmark. _x000a__x000a_+1 Stability; +2 Defense Modifier; Unrest –1." sqref="AJ34"/>
  </dataValidations>
  <printOptions horizontalCentered="1" verticalCentered="1"/>
  <pageMargins left="0.70866141732283472" right="0.70866141732283472" top="0.74803149606299213" bottom="0.74803149606299213" header="0.31496062992125984" footer="0.31496062992125984"/>
  <pageSetup paperSize="9" scale="84" orientation="portrait" r:id="rId1"/>
  <headerFooter>
    <oddHeader>&amp;A</oddHeader>
    <oddFooter>&amp;C&amp;P&amp;R&amp;D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71"/>
  <sheetViews>
    <sheetView topLeftCell="AF34" zoomScaleNormal="100" zoomScalePageLayoutView="70" workbookViewId="0">
      <selection activeCell="D2" sqref="D2:T2"/>
    </sheetView>
  </sheetViews>
  <sheetFormatPr defaultColWidth="9.140625" defaultRowHeight="15" x14ac:dyDescent="0.25"/>
  <cols>
    <col min="1" max="1" width="21.85546875" hidden="1" customWidth="1"/>
    <col min="2" max="5" width="9.140625" hidden="1" customWidth="1"/>
    <col min="6" max="7" width="2.7109375" hidden="1" customWidth="1"/>
    <col min="8" max="9" width="10" hidden="1" customWidth="1"/>
    <col min="10" max="10" width="2.7109375" hidden="1" customWidth="1"/>
    <col min="11" max="12" width="10" hidden="1" customWidth="1"/>
    <col min="13" max="13" width="2.7109375" hidden="1" customWidth="1"/>
    <col min="14" max="15" width="10" hidden="1" customWidth="1"/>
    <col min="16" max="17" width="2.7109375" hidden="1" customWidth="1"/>
    <col min="18" max="18" width="2.85546875" hidden="1" customWidth="1"/>
    <col min="19" max="20" width="2.7109375" hidden="1" customWidth="1"/>
    <col min="21" max="22" width="10" hidden="1" customWidth="1"/>
    <col min="23" max="23" width="2.7109375" hidden="1" customWidth="1"/>
    <col min="24" max="25" width="10" hidden="1" customWidth="1"/>
    <col min="26" max="26" width="2.7109375" hidden="1" customWidth="1"/>
    <col min="27" max="28" width="10" hidden="1" customWidth="1"/>
    <col min="29" max="30" width="2.7109375" hidden="1" customWidth="1"/>
    <col min="31" max="31" width="2.85546875" hidden="1" customWidth="1"/>
    <col min="32" max="33" width="2.7109375" customWidth="1"/>
    <col min="34" max="35" width="10" customWidth="1"/>
    <col min="36" max="36" width="2.7109375" customWidth="1"/>
    <col min="37" max="38" width="10" customWidth="1"/>
    <col min="39" max="39" width="2.7109375" customWidth="1"/>
    <col min="40" max="41" width="10" customWidth="1"/>
    <col min="42" max="43" width="2.7109375" customWidth="1"/>
    <col min="44" max="44" width="2.85546875" hidden="1" customWidth="1"/>
    <col min="45" max="46" width="2.7109375" hidden="1" customWidth="1"/>
    <col min="47" max="48" width="10" hidden="1" customWidth="1"/>
    <col min="49" max="49" width="2.7109375" hidden="1" customWidth="1"/>
    <col min="50" max="51" width="10" hidden="1" customWidth="1"/>
    <col min="52" max="52" width="2.7109375" hidden="1" customWidth="1"/>
    <col min="53" max="54" width="10" hidden="1" customWidth="1"/>
    <col min="55" max="56" width="2.7109375" hidden="1" customWidth="1"/>
    <col min="57" max="57" width="2.85546875" hidden="1" customWidth="1"/>
    <col min="58" max="59" width="2.7109375" hidden="1" customWidth="1"/>
    <col min="60" max="61" width="10" hidden="1" customWidth="1"/>
    <col min="62" max="62" width="2.7109375" hidden="1" customWidth="1"/>
    <col min="63" max="64" width="10" hidden="1" customWidth="1"/>
    <col min="65" max="65" width="2.7109375" hidden="1" customWidth="1"/>
    <col min="66" max="67" width="10" hidden="1" customWidth="1"/>
    <col min="68" max="69" width="2.7109375" hidden="1" customWidth="1"/>
  </cols>
  <sheetData>
    <row r="1" spans="1:69" hidden="1" x14ac:dyDescent="0.25"/>
    <row r="2" spans="1:69" hidden="1" x14ac:dyDescent="0.25"/>
    <row r="3" spans="1:69" hidden="1" x14ac:dyDescent="0.25"/>
    <row r="4" spans="1:69" hidden="1" x14ac:dyDescent="0.25"/>
    <row r="5" spans="1:69" hidden="1" x14ac:dyDescent="0.25"/>
    <row r="6" spans="1:69" hidden="1" x14ac:dyDescent="0.25"/>
    <row r="7" spans="1:69" hidden="1" x14ac:dyDescent="0.25"/>
    <row r="8" spans="1:69" ht="15.75" hidden="1" thickBot="1" x14ac:dyDescent="0.3">
      <c r="A8" s="9" t="s">
        <v>1249</v>
      </c>
      <c r="B8" s="51" t="s">
        <v>10</v>
      </c>
      <c r="C8" s="51" t="s">
        <v>1252</v>
      </c>
      <c r="G8" s="448" t="s">
        <v>1251</v>
      </c>
      <c r="H8" s="448"/>
      <c r="I8" s="448"/>
      <c r="J8" s="448"/>
      <c r="K8" s="448"/>
      <c r="L8" s="448"/>
      <c r="M8" s="448"/>
      <c r="N8" s="448"/>
      <c r="O8" s="448"/>
      <c r="P8" s="448"/>
      <c r="T8" s="448" t="s">
        <v>1251</v>
      </c>
      <c r="U8" s="448"/>
      <c r="V8" s="448"/>
      <c r="W8" s="448"/>
      <c r="X8" s="448"/>
      <c r="Y8" s="448"/>
      <c r="Z8" s="448"/>
      <c r="AA8" s="448"/>
      <c r="AB8" s="448"/>
      <c r="AC8" s="448"/>
      <c r="AG8" s="448" t="s">
        <v>1251</v>
      </c>
      <c r="AH8" s="448"/>
      <c r="AI8" s="448"/>
      <c r="AJ8" s="448"/>
      <c r="AK8" s="448"/>
      <c r="AL8" s="448"/>
      <c r="AM8" s="448"/>
      <c r="AN8" s="448"/>
      <c r="AO8" s="448"/>
      <c r="AP8" s="448"/>
      <c r="AT8" s="448" t="s">
        <v>1251</v>
      </c>
      <c r="AU8" s="448"/>
      <c r="AV8" s="448"/>
      <c r="AW8" s="448"/>
      <c r="AX8" s="448"/>
      <c r="AY8" s="448"/>
      <c r="AZ8" s="448"/>
      <c r="BA8" s="448"/>
      <c r="BB8" s="448"/>
      <c r="BC8" s="448"/>
      <c r="BG8" s="448" t="s">
        <v>1251</v>
      </c>
      <c r="BH8" s="448"/>
      <c r="BI8" s="448"/>
      <c r="BJ8" s="448"/>
      <c r="BK8" s="448"/>
      <c r="BL8" s="448"/>
      <c r="BM8" s="448"/>
      <c r="BN8" s="448"/>
      <c r="BO8" s="448"/>
      <c r="BP8" s="448"/>
    </row>
    <row r="9" spans="1:69" ht="15" hidden="1" customHeight="1" x14ac:dyDescent="0.25">
      <c r="A9" t="s">
        <v>0</v>
      </c>
      <c r="B9" t="s">
        <v>10</v>
      </c>
      <c r="C9" t="s">
        <v>1251</v>
      </c>
      <c r="F9" s="449" t="s">
        <v>1251</v>
      </c>
      <c r="G9" s="263"/>
      <c r="H9" s="451"/>
      <c r="I9" s="451"/>
      <c r="J9" s="451"/>
      <c r="K9" s="451"/>
      <c r="L9" s="451"/>
      <c r="M9" s="451"/>
      <c r="N9" s="451"/>
      <c r="O9" s="451"/>
      <c r="P9" s="263"/>
      <c r="Q9" s="450" t="s">
        <v>1251</v>
      </c>
      <c r="S9" s="449" t="s">
        <v>1251</v>
      </c>
      <c r="T9" s="263"/>
      <c r="U9" s="451"/>
      <c r="V9" s="451"/>
      <c r="W9" s="451"/>
      <c r="X9" s="451"/>
      <c r="Y9" s="451"/>
      <c r="Z9" s="451"/>
      <c r="AA9" s="451"/>
      <c r="AB9" s="451"/>
      <c r="AC9" s="263"/>
      <c r="AD9" s="450" t="s">
        <v>1251</v>
      </c>
      <c r="AF9" s="449" t="s">
        <v>1251</v>
      </c>
      <c r="AG9" s="263"/>
      <c r="AH9" s="451"/>
      <c r="AI9" s="451"/>
      <c r="AJ9" s="451"/>
      <c r="AK9" s="451"/>
      <c r="AL9" s="451"/>
      <c r="AM9" s="451"/>
      <c r="AN9" s="451"/>
      <c r="AO9" s="451"/>
      <c r="AP9" s="263"/>
      <c r="AQ9" s="450" t="s">
        <v>1251</v>
      </c>
      <c r="AS9" s="449" t="s">
        <v>1251</v>
      </c>
      <c r="AT9" s="263"/>
      <c r="AU9" s="451"/>
      <c r="AV9" s="451"/>
      <c r="AW9" s="451"/>
      <c r="AX9" s="451"/>
      <c r="AY9" s="451"/>
      <c r="AZ9" s="451"/>
      <c r="BA9" s="451"/>
      <c r="BB9" s="451"/>
      <c r="BC9" s="263"/>
      <c r="BD9" s="450" t="s">
        <v>1251</v>
      </c>
      <c r="BF9" s="449" t="s">
        <v>1251</v>
      </c>
      <c r="BG9" s="263"/>
      <c r="BH9" s="451"/>
      <c r="BI9" s="451"/>
      <c r="BJ9" s="451"/>
      <c r="BK9" s="451"/>
      <c r="BL9" s="451"/>
      <c r="BM9" s="451"/>
      <c r="BN9" s="451"/>
      <c r="BO9" s="451"/>
      <c r="BP9" s="263"/>
      <c r="BQ9" s="450" t="s">
        <v>1251</v>
      </c>
    </row>
    <row r="10" spans="1:69" ht="56.85" hidden="1" customHeight="1" x14ac:dyDescent="0.25">
      <c r="A10" t="s">
        <v>1</v>
      </c>
      <c r="C10" t="s">
        <v>1250</v>
      </c>
      <c r="D10" s="264"/>
      <c r="F10" s="449"/>
      <c r="G10" s="452"/>
      <c r="H10" s="265"/>
      <c r="I10" s="266"/>
      <c r="J10" s="263"/>
      <c r="K10" s="265"/>
      <c r="L10" s="266"/>
      <c r="M10" s="263"/>
      <c r="N10" s="265"/>
      <c r="O10" s="266"/>
      <c r="P10" s="453"/>
      <c r="Q10" s="450"/>
      <c r="S10" s="449"/>
      <c r="T10" s="452"/>
      <c r="U10" s="265"/>
      <c r="V10" s="266"/>
      <c r="W10" s="269"/>
      <c r="X10" s="265"/>
      <c r="Y10" s="266"/>
      <c r="Z10" s="269"/>
      <c r="AA10" s="265"/>
      <c r="AB10" s="266"/>
      <c r="AC10" s="453"/>
      <c r="AD10" s="450"/>
      <c r="AF10" s="449"/>
      <c r="AG10" s="452"/>
      <c r="AH10" s="265"/>
      <c r="AI10" s="266"/>
      <c r="AJ10" s="269"/>
      <c r="AK10" s="265"/>
      <c r="AL10" s="266"/>
      <c r="AM10" s="269"/>
      <c r="AN10" s="265"/>
      <c r="AO10" s="266"/>
      <c r="AP10" s="453"/>
      <c r="AQ10" s="450"/>
      <c r="AS10" s="449"/>
      <c r="AT10" s="452"/>
      <c r="AU10" s="265"/>
      <c r="AV10" s="266"/>
      <c r="AW10" s="269"/>
      <c r="AX10" s="265"/>
      <c r="AY10" s="266"/>
      <c r="AZ10" s="269"/>
      <c r="BA10" s="265"/>
      <c r="BB10" s="266"/>
      <c r="BC10" s="453"/>
      <c r="BD10" s="450"/>
      <c r="BF10" s="449"/>
      <c r="BG10" s="452"/>
      <c r="BH10" s="265"/>
      <c r="BI10" s="266"/>
      <c r="BJ10" s="269"/>
      <c r="BK10" s="265"/>
      <c r="BL10" s="266"/>
      <c r="BM10" s="269"/>
      <c r="BN10" s="265"/>
      <c r="BO10" s="266"/>
      <c r="BP10" s="453"/>
      <c r="BQ10" s="450"/>
    </row>
    <row r="11" spans="1:69" ht="56.85" hidden="1" customHeight="1" x14ac:dyDescent="0.25">
      <c r="A11" t="s">
        <v>368</v>
      </c>
      <c r="F11" s="449"/>
      <c r="G11" s="452"/>
      <c r="H11" s="267"/>
      <c r="I11" s="268"/>
      <c r="J11" s="263"/>
      <c r="K11" s="267"/>
      <c r="L11" s="268"/>
      <c r="M11" s="263"/>
      <c r="N11" s="267"/>
      <c r="O11" s="268"/>
      <c r="P11" s="453"/>
      <c r="Q11" s="450"/>
      <c r="S11" s="449"/>
      <c r="T11" s="452"/>
      <c r="U11" s="267"/>
      <c r="V11" s="268"/>
      <c r="W11" s="269"/>
      <c r="X11" s="267"/>
      <c r="Y11" s="268"/>
      <c r="Z11" s="269"/>
      <c r="AA11" s="267"/>
      <c r="AB11" s="268"/>
      <c r="AC11" s="453"/>
      <c r="AD11" s="450"/>
      <c r="AF11" s="449"/>
      <c r="AG11" s="452"/>
      <c r="AH11" s="267"/>
      <c r="AI11" s="268"/>
      <c r="AJ11" s="269"/>
      <c r="AK11" s="267"/>
      <c r="AL11" s="268"/>
      <c r="AM11" s="269"/>
      <c r="AN11" s="267"/>
      <c r="AO11" s="268"/>
      <c r="AP11" s="453"/>
      <c r="AQ11" s="450"/>
      <c r="AS11" s="449"/>
      <c r="AT11" s="452"/>
      <c r="AU11" s="267"/>
      <c r="AV11" s="268"/>
      <c r="AW11" s="269"/>
      <c r="AX11" s="267"/>
      <c r="AY11" s="268"/>
      <c r="AZ11" s="269"/>
      <c r="BA11" s="267"/>
      <c r="BB11" s="268"/>
      <c r="BC11" s="453"/>
      <c r="BD11" s="450"/>
      <c r="BF11" s="449"/>
      <c r="BG11" s="452"/>
      <c r="BH11" s="267"/>
      <c r="BI11" s="268"/>
      <c r="BJ11" s="269"/>
      <c r="BK11" s="267"/>
      <c r="BL11" s="268"/>
      <c r="BM11" s="269"/>
      <c r="BN11" s="267"/>
      <c r="BO11" s="268"/>
      <c r="BP11" s="453"/>
      <c r="BQ11" s="450"/>
    </row>
    <row r="12" spans="1:69" ht="9.9499999999999993" hidden="1" customHeight="1" x14ac:dyDescent="0.25">
      <c r="A12" t="s">
        <v>2</v>
      </c>
      <c r="F12" s="449"/>
      <c r="G12" s="452"/>
      <c r="H12" s="263"/>
      <c r="I12" s="263"/>
      <c r="J12" s="263"/>
      <c r="K12" s="263"/>
      <c r="L12" s="263"/>
      <c r="M12" s="263"/>
      <c r="N12" s="263"/>
      <c r="O12" s="263"/>
      <c r="P12" s="453"/>
      <c r="Q12" s="450"/>
      <c r="S12" s="449"/>
      <c r="T12" s="452"/>
      <c r="U12" s="269"/>
      <c r="V12" s="269"/>
      <c r="W12" s="269"/>
      <c r="X12" s="269"/>
      <c r="Y12" s="269"/>
      <c r="Z12" s="269"/>
      <c r="AA12" s="269"/>
      <c r="AB12" s="269"/>
      <c r="AC12" s="453"/>
      <c r="AD12" s="450"/>
      <c r="AF12" s="449"/>
      <c r="AG12" s="452"/>
      <c r="AH12" s="269"/>
      <c r="AI12" s="269"/>
      <c r="AJ12" s="269"/>
      <c r="AK12" s="269"/>
      <c r="AL12" s="269"/>
      <c r="AM12" s="269"/>
      <c r="AN12" s="269"/>
      <c r="AO12" s="269"/>
      <c r="AP12" s="453"/>
      <c r="AQ12" s="450"/>
      <c r="AS12" s="449"/>
      <c r="AT12" s="452"/>
      <c r="AU12" s="269"/>
      <c r="AV12" s="269"/>
      <c r="AW12" s="269"/>
      <c r="AX12" s="269"/>
      <c r="AY12" s="269"/>
      <c r="AZ12" s="269"/>
      <c r="BA12" s="269"/>
      <c r="BB12" s="269"/>
      <c r="BC12" s="453"/>
      <c r="BD12" s="450"/>
      <c r="BF12" s="449"/>
      <c r="BG12" s="452"/>
      <c r="BH12" s="269"/>
      <c r="BI12" s="269"/>
      <c r="BJ12" s="269"/>
      <c r="BK12" s="269"/>
      <c r="BL12" s="269"/>
      <c r="BM12" s="269"/>
      <c r="BN12" s="269"/>
      <c r="BO12" s="269"/>
      <c r="BP12" s="453"/>
      <c r="BQ12" s="450"/>
    </row>
    <row r="13" spans="1:69" ht="56.85" hidden="1" customHeight="1" x14ac:dyDescent="0.25">
      <c r="A13" t="s">
        <v>2</v>
      </c>
      <c r="F13" s="449"/>
      <c r="G13" s="452"/>
      <c r="H13" s="265"/>
      <c r="I13" s="266"/>
      <c r="J13" s="263"/>
      <c r="K13" s="265"/>
      <c r="L13" s="266"/>
      <c r="M13" s="263"/>
      <c r="N13" s="265"/>
      <c r="O13" s="266"/>
      <c r="P13" s="453"/>
      <c r="Q13" s="450"/>
      <c r="S13" s="449"/>
      <c r="T13" s="452"/>
      <c r="U13" s="265"/>
      <c r="V13" s="266"/>
      <c r="W13" s="269"/>
      <c r="X13" s="265"/>
      <c r="Y13" s="266"/>
      <c r="Z13" s="269"/>
      <c r="AA13" s="265"/>
      <c r="AB13" s="266"/>
      <c r="AC13" s="453"/>
      <c r="AD13" s="450"/>
      <c r="AF13" s="449"/>
      <c r="AG13" s="452"/>
      <c r="AH13" s="265"/>
      <c r="AI13" s="266"/>
      <c r="AJ13" s="269"/>
      <c r="AK13" s="265"/>
      <c r="AL13" s="266"/>
      <c r="AM13" s="269"/>
      <c r="AN13" s="265"/>
      <c r="AO13" s="266"/>
      <c r="AP13" s="453"/>
      <c r="AQ13" s="450"/>
      <c r="AS13" s="449"/>
      <c r="AT13" s="452"/>
      <c r="AU13" s="265"/>
      <c r="AV13" s="266"/>
      <c r="AW13" s="269"/>
      <c r="AX13" s="265"/>
      <c r="AY13" s="266"/>
      <c r="AZ13" s="269"/>
      <c r="BA13" s="265"/>
      <c r="BB13" s="266"/>
      <c r="BC13" s="453"/>
      <c r="BD13" s="450"/>
      <c r="BF13" s="449"/>
      <c r="BG13" s="452"/>
      <c r="BH13" s="265"/>
      <c r="BI13" s="266"/>
      <c r="BJ13" s="269"/>
      <c r="BK13" s="265"/>
      <c r="BL13" s="266"/>
      <c r="BM13" s="269"/>
      <c r="BN13" s="265"/>
      <c r="BO13" s="266"/>
      <c r="BP13" s="453"/>
      <c r="BQ13" s="450"/>
    </row>
    <row r="14" spans="1:69" ht="56.85" hidden="1" customHeight="1" x14ac:dyDescent="0.25">
      <c r="A14" t="s">
        <v>369</v>
      </c>
      <c r="F14" s="449"/>
      <c r="G14" s="452"/>
      <c r="H14" s="267"/>
      <c r="I14" s="268"/>
      <c r="J14" s="263"/>
      <c r="K14" s="267"/>
      <c r="L14" s="268"/>
      <c r="M14" s="263"/>
      <c r="N14" s="267"/>
      <c r="O14" s="268"/>
      <c r="P14" s="453"/>
      <c r="Q14" s="450"/>
      <c r="S14" s="449"/>
      <c r="T14" s="452"/>
      <c r="U14" s="267"/>
      <c r="V14" s="268"/>
      <c r="W14" s="269"/>
      <c r="X14" s="267"/>
      <c r="Y14" s="268"/>
      <c r="Z14" s="269"/>
      <c r="AA14" s="267"/>
      <c r="AB14" s="268"/>
      <c r="AC14" s="453"/>
      <c r="AD14" s="450"/>
      <c r="AF14" s="449"/>
      <c r="AG14" s="452"/>
      <c r="AH14" s="267"/>
      <c r="AI14" s="268"/>
      <c r="AJ14" s="269"/>
      <c r="AK14" s="267"/>
      <c r="AL14" s="268"/>
      <c r="AM14" s="269"/>
      <c r="AN14" s="267"/>
      <c r="AO14" s="268"/>
      <c r="AP14" s="453"/>
      <c r="AQ14" s="450"/>
      <c r="AS14" s="449"/>
      <c r="AT14" s="452"/>
      <c r="AU14" s="267"/>
      <c r="AV14" s="268"/>
      <c r="AW14" s="269"/>
      <c r="AX14" s="267"/>
      <c r="AY14" s="268"/>
      <c r="AZ14" s="269"/>
      <c r="BA14" s="267"/>
      <c r="BB14" s="268"/>
      <c r="BC14" s="453"/>
      <c r="BD14" s="450"/>
      <c r="BF14" s="449"/>
      <c r="BG14" s="452"/>
      <c r="BH14" s="267"/>
      <c r="BI14" s="268"/>
      <c r="BJ14" s="269"/>
      <c r="BK14" s="267"/>
      <c r="BL14" s="268"/>
      <c r="BM14" s="269"/>
      <c r="BN14" s="267"/>
      <c r="BO14" s="268"/>
      <c r="BP14" s="453"/>
      <c r="BQ14" s="450"/>
    </row>
    <row r="15" spans="1:69" ht="9.9499999999999993" hidden="1" customHeight="1" x14ac:dyDescent="0.25">
      <c r="A15" t="s">
        <v>370</v>
      </c>
      <c r="F15" s="449"/>
      <c r="G15" s="452"/>
      <c r="H15" s="263"/>
      <c r="I15" s="263"/>
      <c r="J15" s="263"/>
      <c r="K15" s="263"/>
      <c r="L15" s="263"/>
      <c r="M15" s="263"/>
      <c r="N15" s="263"/>
      <c r="O15" s="263"/>
      <c r="P15" s="453"/>
      <c r="Q15" s="450"/>
      <c r="S15" s="449"/>
      <c r="T15" s="452"/>
      <c r="U15" s="269"/>
      <c r="V15" s="269"/>
      <c r="W15" s="269"/>
      <c r="X15" s="269"/>
      <c r="Y15" s="269"/>
      <c r="Z15" s="269"/>
      <c r="AA15" s="269"/>
      <c r="AB15" s="269"/>
      <c r="AC15" s="453"/>
      <c r="AD15" s="450"/>
      <c r="AF15" s="449"/>
      <c r="AG15" s="452"/>
      <c r="AH15" s="269"/>
      <c r="AI15" s="269"/>
      <c r="AJ15" s="269"/>
      <c r="AK15" s="269"/>
      <c r="AL15" s="269"/>
      <c r="AM15" s="269"/>
      <c r="AN15" s="269"/>
      <c r="AO15" s="269"/>
      <c r="AP15" s="453"/>
      <c r="AQ15" s="450"/>
      <c r="AS15" s="449"/>
      <c r="AT15" s="452"/>
      <c r="AU15" s="269"/>
      <c r="AV15" s="269"/>
      <c r="AW15" s="269"/>
      <c r="AX15" s="269"/>
      <c r="AY15" s="269"/>
      <c r="AZ15" s="269"/>
      <c r="BA15" s="269"/>
      <c r="BB15" s="269"/>
      <c r="BC15" s="453"/>
      <c r="BD15" s="450"/>
      <c r="BF15" s="449"/>
      <c r="BG15" s="452"/>
      <c r="BH15" s="269"/>
      <c r="BI15" s="269"/>
      <c r="BJ15" s="269"/>
      <c r="BK15" s="269"/>
      <c r="BL15" s="269"/>
      <c r="BM15" s="269"/>
      <c r="BN15" s="269"/>
      <c r="BO15" s="269"/>
      <c r="BP15" s="453"/>
      <c r="BQ15" s="450"/>
    </row>
    <row r="16" spans="1:69" ht="56.85" hidden="1" customHeight="1" x14ac:dyDescent="0.25">
      <c r="A16" t="s">
        <v>3</v>
      </c>
      <c r="F16" s="449"/>
      <c r="G16" s="452"/>
      <c r="H16" s="265"/>
      <c r="I16" s="266"/>
      <c r="J16" s="263"/>
      <c r="K16" s="265"/>
      <c r="L16" s="266"/>
      <c r="M16" s="263"/>
      <c r="N16" s="265"/>
      <c r="O16" s="266"/>
      <c r="P16" s="453"/>
      <c r="Q16" s="450"/>
      <c r="S16" s="449"/>
      <c r="T16" s="452"/>
      <c r="U16" s="265"/>
      <c r="V16" s="266"/>
      <c r="W16" s="269"/>
      <c r="X16" s="265"/>
      <c r="Y16" s="266"/>
      <c r="Z16" s="269"/>
      <c r="AA16" s="265"/>
      <c r="AB16" s="266"/>
      <c r="AC16" s="453"/>
      <c r="AD16" s="450"/>
      <c r="AF16" s="449"/>
      <c r="AG16" s="452"/>
      <c r="AH16" s="265"/>
      <c r="AI16" s="266"/>
      <c r="AJ16" s="269"/>
      <c r="AK16" s="265"/>
      <c r="AL16" s="266"/>
      <c r="AM16" s="269"/>
      <c r="AN16" s="265"/>
      <c r="AO16" s="266"/>
      <c r="AP16" s="453"/>
      <c r="AQ16" s="450"/>
      <c r="AS16" s="449"/>
      <c r="AT16" s="452"/>
      <c r="AU16" s="265"/>
      <c r="AV16" s="266"/>
      <c r="AW16" s="269"/>
      <c r="AX16" s="265"/>
      <c r="AY16" s="266"/>
      <c r="AZ16" s="269"/>
      <c r="BA16" s="265"/>
      <c r="BB16" s="266"/>
      <c r="BC16" s="453"/>
      <c r="BD16" s="450"/>
      <c r="BF16" s="449"/>
      <c r="BG16" s="452"/>
      <c r="BH16" s="265"/>
      <c r="BI16" s="266"/>
      <c r="BJ16" s="269"/>
      <c r="BK16" s="265"/>
      <c r="BL16" s="266"/>
      <c r="BM16" s="269"/>
      <c r="BN16" s="265"/>
      <c r="BO16" s="266"/>
      <c r="BP16" s="453"/>
      <c r="BQ16" s="450"/>
    </row>
    <row r="17" spans="1:69" ht="56.85" hidden="1" customHeight="1" x14ac:dyDescent="0.25">
      <c r="A17" t="s">
        <v>4</v>
      </c>
      <c r="F17" s="449"/>
      <c r="G17" s="452"/>
      <c r="H17" s="267"/>
      <c r="I17" s="268"/>
      <c r="J17" s="263"/>
      <c r="K17" s="267"/>
      <c r="L17" s="268"/>
      <c r="M17" s="263"/>
      <c r="N17" s="267"/>
      <c r="O17" s="268"/>
      <c r="P17" s="453"/>
      <c r="Q17" s="450"/>
      <c r="S17" s="449"/>
      <c r="T17" s="452"/>
      <c r="U17" s="267"/>
      <c r="V17" s="268"/>
      <c r="W17" s="269"/>
      <c r="X17" s="267"/>
      <c r="Y17" s="268"/>
      <c r="Z17" s="269"/>
      <c r="AA17" s="267"/>
      <c r="AB17" s="268"/>
      <c r="AC17" s="453"/>
      <c r="AD17" s="450"/>
      <c r="AF17" s="449"/>
      <c r="AG17" s="452"/>
      <c r="AH17" s="267"/>
      <c r="AI17" s="268"/>
      <c r="AJ17" s="269"/>
      <c r="AK17" s="267"/>
      <c r="AL17" s="268"/>
      <c r="AM17" s="269"/>
      <c r="AN17" s="267"/>
      <c r="AO17" s="268"/>
      <c r="AP17" s="453"/>
      <c r="AQ17" s="450"/>
      <c r="AS17" s="449"/>
      <c r="AT17" s="452"/>
      <c r="AU17" s="267"/>
      <c r="AV17" s="268"/>
      <c r="AW17" s="269"/>
      <c r="AX17" s="267"/>
      <c r="AY17" s="268"/>
      <c r="AZ17" s="269"/>
      <c r="BA17" s="267"/>
      <c r="BB17" s="268"/>
      <c r="BC17" s="453"/>
      <c r="BD17" s="450"/>
      <c r="BF17" s="449"/>
      <c r="BG17" s="452"/>
      <c r="BH17" s="267"/>
      <c r="BI17" s="268"/>
      <c r="BJ17" s="269"/>
      <c r="BK17" s="267"/>
      <c r="BL17" s="268"/>
      <c r="BM17" s="269"/>
      <c r="BN17" s="267"/>
      <c r="BO17" s="268"/>
      <c r="BP17" s="453"/>
      <c r="BQ17" s="450"/>
    </row>
    <row r="18" spans="1:69" hidden="1" x14ac:dyDescent="0.25">
      <c r="A18" t="s">
        <v>5</v>
      </c>
      <c r="F18" s="449"/>
      <c r="G18" s="263"/>
      <c r="H18" s="451"/>
      <c r="I18" s="451"/>
      <c r="J18" s="451"/>
      <c r="K18" s="451"/>
      <c r="L18" s="451"/>
      <c r="M18" s="451"/>
      <c r="N18" s="451"/>
      <c r="O18" s="451"/>
      <c r="P18" s="263"/>
      <c r="Q18" s="450"/>
      <c r="S18" s="449"/>
      <c r="T18" s="263"/>
      <c r="U18" s="451"/>
      <c r="V18" s="451"/>
      <c r="W18" s="451"/>
      <c r="X18" s="451"/>
      <c r="Y18" s="451"/>
      <c r="Z18" s="451"/>
      <c r="AA18" s="451"/>
      <c r="AB18" s="451"/>
      <c r="AC18" s="263"/>
      <c r="AD18" s="450"/>
      <c r="AF18" s="449"/>
      <c r="AG18" s="263"/>
      <c r="AH18" s="451"/>
      <c r="AI18" s="451"/>
      <c r="AJ18" s="451"/>
      <c r="AK18" s="451"/>
      <c r="AL18" s="451"/>
      <c r="AM18" s="451"/>
      <c r="AN18" s="451"/>
      <c r="AO18" s="451"/>
      <c r="AP18" s="263"/>
      <c r="AQ18" s="450"/>
      <c r="AS18" s="449"/>
      <c r="AT18" s="263"/>
      <c r="AU18" s="451"/>
      <c r="AV18" s="451"/>
      <c r="AW18" s="451"/>
      <c r="AX18" s="451"/>
      <c r="AY18" s="451"/>
      <c r="AZ18" s="451"/>
      <c r="BA18" s="451"/>
      <c r="BB18" s="451"/>
      <c r="BC18" s="263"/>
      <c r="BD18" s="450"/>
      <c r="BF18" s="449"/>
      <c r="BG18" s="263"/>
      <c r="BH18" s="451"/>
      <c r="BI18" s="451"/>
      <c r="BJ18" s="451"/>
      <c r="BK18" s="451"/>
      <c r="BL18" s="451"/>
      <c r="BM18" s="451"/>
      <c r="BN18" s="451"/>
      <c r="BO18" s="451"/>
      <c r="BP18" s="263"/>
      <c r="BQ18" s="450"/>
    </row>
    <row r="19" spans="1:69" hidden="1" x14ac:dyDescent="0.25">
      <c r="A19" t="s">
        <v>6</v>
      </c>
      <c r="G19" s="448" t="s">
        <v>1251</v>
      </c>
      <c r="H19" s="448"/>
      <c r="I19" s="448"/>
      <c r="J19" s="448"/>
      <c r="K19" s="448"/>
      <c r="L19" s="448"/>
      <c r="M19" s="448"/>
      <c r="N19" s="448"/>
      <c r="O19" s="448"/>
      <c r="P19" s="448"/>
      <c r="T19" s="448" t="s">
        <v>1251</v>
      </c>
      <c r="U19" s="448"/>
      <c r="V19" s="448"/>
      <c r="W19" s="448"/>
      <c r="X19" s="448"/>
      <c r="Y19" s="448"/>
      <c r="Z19" s="448"/>
      <c r="AA19" s="448"/>
      <c r="AB19" s="448"/>
      <c r="AC19" s="448"/>
      <c r="AG19" s="448" t="s">
        <v>1251</v>
      </c>
      <c r="AH19" s="448"/>
      <c r="AI19" s="448"/>
      <c r="AJ19" s="448"/>
      <c r="AK19" s="448"/>
      <c r="AL19" s="448"/>
      <c r="AM19" s="448"/>
      <c r="AN19" s="448"/>
      <c r="AO19" s="448"/>
      <c r="AP19" s="448"/>
      <c r="AT19" s="448" t="s">
        <v>1251</v>
      </c>
      <c r="AU19" s="448"/>
      <c r="AV19" s="448"/>
      <c r="AW19" s="448"/>
      <c r="AX19" s="448"/>
      <c r="AY19" s="448"/>
      <c r="AZ19" s="448"/>
      <c r="BA19" s="448"/>
      <c r="BB19" s="448"/>
      <c r="BC19" s="448"/>
      <c r="BG19" s="448" t="s">
        <v>1251</v>
      </c>
      <c r="BH19" s="448"/>
      <c r="BI19" s="448"/>
      <c r="BJ19" s="448"/>
      <c r="BK19" s="448"/>
      <c r="BL19" s="448"/>
      <c r="BM19" s="448"/>
      <c r="BN19" s="448"/>
      <c r="BO19" s="448"/>
      <c r="BP19" s="448"/>
    </row>
    <row r="20" spans="1:69" hidden="1" x14ac:dyDescent="0.25">
      <c r="A20" t="s">
        <v>371</v>
      </c>
    </row>
    <row r="21" spans="1:69" hidden="1" x14ac:dyDescent="0.25">
      <c r="A21" t="s">
        <v>372</v>
      </c>
      <c r="G21" s="448" t="s">
        <v>1251</v>
      </c>
      <c r="H21" s="448"/>
      <c r="I21" s="448"/>
      <c r="J21" s="448"/>
      <c r="K21" s="448"/>
      <c r="L21" s="448"/>
      <c r="M21" s="448"/>
      <c r="N21" s="448"/>
      <c r="O21" s="448"/>
      <c r="P21" s="448"/>
      <c r="T21" s="448" t="s">
        <v>1251</v>
      </c>
      <c r="U21" s="448"/>
      <c r="V21" s="448"/>
      <c r="W21" s="448"/>
      <c r="X21" s="448"/>
      <c r="Y21" s="448"/>
      <c r="Z21" s="448"/>
      <c r="AA21" s="448"/>
      <c r="AB21" s="448"/>
      <c r="AC21" s="448"/>
      <c r="AG21" s="448" t="s">
        <v>1251</v>
      </c>
      <c r="AH21" s="448"/>
      <c r="AI21" s="448"/>
      <c r="AJ21" s="448"/>
      <c r="AK21" s="448"/>
      <c r="AL21" s="448"/>
      <c r="AM21" s="448"/>
      <c r="AN21" s="448"/>
      <c r="AO21" s="448"/>
      <c r="AP21" s="448"/>
      <c r="AT21" s="448" t="s">
        <v>1251</v>
      </c>
      <c r="AU21" s="448"/>
      <c r="AV21" s="448"/>
      <c r="AW21" s="448"/>
      <c r="AX21" s="448"/>
      <c r="AY21" s="448"/>
      <c r="AZ21" s="448"/>
      <c r="BA21" s="448"/>
      <c r="BB21" s="448"/>
      <c r="BC21" s="448"/>
      <c r="BG21" s="448" t="s">
        <v>1251</v>
      </c>
      <c r="BH21" s="448"/>
      <c r="BI21" s="448"/>
      <c r="BJ21" s="448"/>
      <c r="BK21" s="448"/>
      <c r="BL21" s="448"/>
      <c r="BM21" s="448"/>
      <c r="BN21" s="448"/>
      <c r="BO21" s="448"/>
      <c r="BP21" s="448"/>
    </row>
    <row r="22" spans="1:69" hidden="1" x14ac:dyDescent="0.25">
      <c r="A22" t="s">
        <v>7</v>
      </c>
      <c r="F22" s="449" t="s">
        <v>1251</v>
      </c>
      <c r="G22" s="263"/>
      <c r="H22" s="451"/>
      <c r="I22" s="451"/>
      <c r="J22" s="451"/>
      <c r="K22" s="451"/>
      <c r="L22" s="451"/>
      <c r="M22" s="451"/>
      <c r="N22" s="451"/>
      <c r="O22" s="451"/>
      <c r="P22" s="263"/>
      <c r="Q22" s="450" t="s">
        <v>1251</v>
      </c>
      <c r="S22" s="449" t="s">
        <v>1251</v>
      </c>
      <c r="T22" s="263"/>
      <c r="U22" s="451"/>
      <c r="V22" s="451"/>
      <c r="W22" s="451"/>
      <c r="X22" s="451"/>
      <c r="Y22" s="451"/>
      <c r="Z22" s="451"/>
      <c r="AA22" s="451"/>
      <c r="AB22" s="451"/>
      <c r="AC22" s="263"/>
      <c r="AD22" s="450" t="s">
        <v>1251</v>
      </c>
      <c r="AF22" s="449" t="s">
        <v>1251</v>
      </c>
      <c r="AG22" s="263"/>
      <c r="AH22" s="451"/>
      <c r="AI22" s="451"/>
      <c r="AJ22" s="451"/>
      <c r="AK22" s="451"/>
      <c r="AL22" s="451"/>
      <c r="AM22" s="451"/>
      <c r="AN22" s="451"/>
      <c r="AO22" s="451"/>
      <c r="AP22" s="263"/>
      <c r="AQ22" s="450" t="s">
        <v>1251</v>
      </c>
      <c r="AS22" s="449" t="s">
        <v>1251</v>
      </c>
      <c r="AT22" s="263"/>
      <c r="AU22" s="451"/>
      <c r="AV22" s="451"/>
      <c r="AW22" s="451"/>
      <c r="AX22" s="451"/>
      <c r="AY22" s="451"/>
      <c r="AZ22" s="451"/>
      <c r="BA22" s="451"/>
      <c r="BB22" s="451"/>
      <c r="BC22" s="263"/>
      <c r="BD22" s="450" t="s">
        <v>1251</v>
      </c>
      <c r="BF22" s="449" t="s">
        <v>1251</v>
      </c>
      <c r="BG22" s="263"/>
      <c r="BH22" s="451"/>
      <c r="BI22" s="451"/>
      <c r="BJ22" s="451"/>
      <c r="BK22" s="451"/>
      <c r="BL22" s="451"/>
      <c r="BM22" s="451"/>
      <c r="BN22" s="451"/>
      <c r="BO22" s="451"/>
      <c r="BP22" s="263"/>
      <c r="BQ22" s="450" t="s">
        <v>1251</v>
      </c>
    </row>
    <row r="23" spans="1:69" ht="56.85" hidden="1" customHeight="1" x14ac:dyDescent="0.25">
      <c r="A23" t="s">
        <v>8</v>
      </c>
      <c r="F23" s="449"/>
      <c r="G23" s="452"/>
      <c r="H23" s="265"/>
      <c r="I23" s="266"/>
      <c r="J23" s="269"/>
      <c r="K23" s="265"/>
      <c r="L23" s="266"/>
      <c r="M23" s="269"/>
      <c r="N23" s="265"/>
      <c r="O23" s="266"/>
      <c r="P23" s="453"/>
      <c r="Q23" s="450"/>
      <c r="S23" s="449"/>
      <c r="T23" s="452"/>
      <c r="U23" s="265"/>
      <c r="V23" s="266"/>
      <c r="W23" s="269"/>
      <c r="X23" s="265"/>
      <c r="Y23" s="266"/>
      <c r="Z23" s="269"/>
      <c r="AA23" s="265"/>
      <c r="AB23" s="266"/>
      <c r="AC23" s="453"/>
      <c r="AD23" s="450"/>
      <c r="AF23" s="449"/>
      <c r="AG23" s="452"/>
      <c r="AH23" s="265"/>
      <c r="AI23" s="266"/>
      <c r="AJ23" s="269"/>
      <c r="AK23" s="265"/>
      <c r="AL23" s="266"/>
      <c r="AM23" s="269"/>
      <c r="AN23" s="265"/>
      <c r="AO23" s="266"/>
      <c r="AP23" s="453"/>
      <c r="AQ23" s="450"/>
      <c r="AS23" s="449"/>
      <c r="AT23" s="452"/>
      <c r="AU23" s="265"/>
      <c r="AV23" s="266"/>
      <c r="AW23" s="269"/>
      <c r="AX23" s="265"/>
      <c r="AY23" s="266"/>
      <c r="AZ23" s="269"/>
      <c r="BA23" s="265"/>
      <c r="BB23" s="266"/>
      <c r="BC23" s="453"/>
      <c r="BD23" s="450"/>
      <c r="BF23" s="449"/>
      <c r="BG23" s="452"/>
      <c r="BH23" s="265"/>
      <c r="BI23" s="266"/>
      <c r="BJ23" s="269"/>
      <c r="BK23" s="265"/>
      <c r="BL23" s="266"/>
      <c r="BM23" s="269"/>
      <c r="BN23" s="265"/>
      <c r="BO23" s="266"/>
      <c r="BP23" s="453"/>
      <c r="BQ23" s="450"/>
    </row>
    <row r="24" spans="1:69" ht="56.85" hidden="1" customHeight="1" x14ac:dyDescent="0.25">
      <c r="A24" t="s">
        <v>9</v>
      </c>
      <c r="F24" s="449"/>
      <c r="G24" s="452"/>
      <c r="H24" s="267"/>
      <c r="I24" s="268"/>
      <c r="J24" s="269"/>
      <c r="K24" s="267"/>
      <c r="L24" s="268"/>
      <c r="M24" s="269"/>
      <c r="N24" s="267"/>
      <c r="O24" s="268"/>
      <c r="P24" s="453"/>
      <c r="Q24" s="450"/>
      <c r="S24" s="449"/>
      <c r="T24" s="452"/>
      <c r="U24" s="267"/>
      <c r="V24" s="268"/>
      <c r="W24" s="269"/>
      <c r="X24" s="267"/>
      <c r="Y24" s="268"/>
      <c r="Z24" s="269"/>
      <c r="AA24" s="267"/>
      <c r="AB24" s="268"/>
      <c r="AC24" s="453"/>
      <c r="AD24" s="450"/>
      <c r="AF24" s="449"/>
      <c r="AG24" s="452"/>
      <c r="AH24" s="267"/>
      <c r="AI24" s="268"/>
      <c r="AJ24" s="269"/>
      <c r="AK24" s="267"/>
      <c r="AL24" s="268"/>
      <c r="AM24" s="269"/>
      <c r="AN24" s="267"/>
      <c r="AO24" s="268"/>
      <c r="AP24" s="453"/>
      <c r="AQ24" s="450"/>
      <c r="AS24" s="449"/>
      <c r="AT24" s="452"/>
      <c r="AU24" s="267"/>
      <c r="AV24" s="268"/>
      <c r="AW24" s="269"/>
      <c r="AX24" s="267"/>
      <c r="AY24" s="268"/>
      <c r="AZ24" s="269"/>
      <c r="BA24" s="267"/>
      <c r="BB24" s="268"/>
      <c r="BC24" s="453"/>
      <c r="BD24" s="450"/>
      <c r="BF24" s="449"/>
      <c r="BG24" s="452"/>
      <c r="BH24" s="267"/>
      <c r="BI24" s="268"/>
      <c r="BJ24" s="269"/>
      <c r="BK24" s="267"/>
      <c r="BL24" s="268"/>
      <c r="BM24" s="269"/>
      <c r="BN24" s="267"/>
      <c r="BO24" s="268"/>
      <c r="BP24" s="453"/>
      <c r="BQ24" s="450"/>
    </row>
    <row r="25" spans="1:69" hidden="1" x14ac:dyDescent="0.25">
      <c r="A25" t="s">
        <v>10</v>
      </c>
      <c r="F25" s="449"/>
      <c r="G25" s="452"/>
      <c r="H25" s="269"/>
      <c r="I25" s="269"/>
      <c r="J25" s="269"/>
      <c r="K25" s="269"/>
      <c r="L25" s="269"/>
      <c r="M25" s="269"/>
      <c r="N25" s="269"/>
      <c r="O25" s="269"/>
      <c r="P25" s="453"/>
      <c r="Q25" s="450"/>
      <c r="S25" s="449"/>
      <c r="T25" s="452"/>
      <c r="U25" s="269"/>
      <c r="V25" s="269"/>
      <c r="W25" s="269"/>
      <c r="X25" s="269"/>
      <c r="Y25" s="269"/>
      <c r="Z25" s="269"/>
      <c r="AA25" s="269"/>
      <c r="AB25" s="269"/>
      <c r="AC25" s="453"/>
      <c r="AD25" s="450"/>
      <c r="AF25" s="449"/>
      <c r="AG25" s="452"/>
      <c r="AH25" s="269"/>
      <c r="AI25" s="269"/>
      <c r="AJ25" s="269"/>
      <c r="AK25" s="269"/>
      <c r="AL25" s="269"/>
      <c r="AM25" s="269"/>
      <c r="AN25" s="269"/>
      <c r="AO25" s="269"/>
      <c r="AP25" s="453"/>
      <c r="AQ25" s="450"/>
      <c r="AS25" s="449"/>
      <c r="AT25" s="452"/>
      <c r="AU25" s="269"/>
      <c r="AV25" s="269"/>
      <c r="AW25" s="269"/>
      <c r="AX25" s="269"/>
      <c r="AY25" s="269"/>
      <c r="AZ25" s="269"/>
      <c r="BA25" s="269"/>
      <c r="BB25" s="269"/>
      <c r="BC25" s="453"/>
      <c r="BD25" s="450"/>
      <c r="BF25" s="449"/>
      <c r="BG25" s="452"/>
      <c r="BH25" s="269"/>
      <c r="BI25" s="269"/>
      <c r="BJ25" s="269"/>
      <c r="BK25" s="269"/>
      <c r="BL25" s="269"/>
      <c r="BM25" s="269"/>
      <c r="BN25" s="269"/>
      <c r="BO25" s="269"/>
      <c r="BP25" s="453"/>
      <c r="BQ25" s="450"/>
    </row>
    <row r="26" spans="1:69" ht="56.85" hidden="1" customHeight="1" x14ac:dyDescent="0.25">
      <c r="A26" t="s">
        <v>11</v>
      </c>
      <c r="F26" s="449"/>
      <c r="G26" s="452"/>
      <c r="H26" s="265"/>
      <c r="I26" s="266"/>
      <c r="J26" s="269"/>
      <c r="K26" s="265"/>
      <c r="L26" s="266"/>
      <c r="M26" s="269"/>
      <c r="N26" s="265"/>
      <c r="O26" s="266"/>
      <c r="P26" s="453"/>
      <c r="Q26" s="450"/>
      <c r="S26" s="449"/>
      <c r="T26" s="452"/>
      <c r="U26" s="265"/>
      <c r="V26" s="266"/>
      <c r="W26" s="269"/>
      <c r="X26" s="265"/>
      <c r="Y26" s="266"/>
      <c r="Z26" s="269"/>
      <c r="AA26" s="265"/>
      <c r="AB26" s="266"/>
      <c r="AC26" s="453"/>
      <c r="AD26" s="450"/>
      <c r="AF26" s="449"/>
      <c r="AG26" s="452"/>
      <c r="AH26" s="265"/>
      <c r="AI26" s="266"/>
      <c r="AJ26" s="269"/>
      <c r="AK26" s="265"/>
      <c r="AL26" s="266"/>
      <c r="AM26" s="269"/>
      <c r="AN26" s="265"/>
      <c r="AO26" s="266"/>
      <c r="AP26" s="453"/>
      <c r="AQ26" s="450"/>
      <c r="AS26" s="449"/>
      <c r="AT26" s="452"/>
      <c r="AU26" s="265"/>
      <c r="AV26" s="266"/>
      <c r="AW26" s="269"/>
      <c r="AX26" s="265"/>
      <c r="AY26" s="266"/>
      <c r="AZ26" s="269"/>
      <c r="BA26" s="265"/>
      <c r="BB26" s="266"/>
      <c r="BC26" s="453"/>
      <c r="BD26" s="450"/>
      <c r="BF26" s="449"/>
      <c r="BG26" s="452"/>
      <c r="BH26" s="265"/>
      <c r="BI26" s="266"/>
      <c r="BJ26" s="269"/>
      <c r="BK26" s="265"/>
      <c r="BL26" s="266"/>
      <c r="BM26" s="269"/>
      <c r="BN26" s="265"/>
      <c r="BO26" s="266"/>
      <c r="BP26" s="453"/>
      <c r="BQ26" s="450"/>
    </row>
    <row r="27" spans="1:69" ht="56.85" hidden="1" customHeight="1" x14ac:dyDescent="0.25">
      <c r="A27" t="s">
        <v>12</v>
      </c>
      <c r="F27" s="449"/>
      <c r="G27" s="452"/>
      <c r="H27" s="267"/>
      <c r="I27" s="268"/>
      <c r="J27" s="269"/>
      <c r="K27" s="267"/>
      <c r="L27" s="268"/>
      <c r="M27" s="269"/>
      <c r="N27" s="267"/>
      <c r="O27" s="268"/>
      <c r="P27" s="453"/>
      <c r="Q27" s="450"/>
      <c r="S27" s="449"/>
      <c r="T27" s="452"/>
      <c r="U27" s="267"/>
      <c r="V27" s="268"/>
      <c r="W27" s="269"/>
      <c r="X27" s="267"/>
      <c r="Y27" s="268"/>
      <c r="Z27" s="269"/>
      <c r="AA27" s="267"/>
      <c r="AB27" s="268"/>
      <c r="AC27" s="453"/>
      <c r="AD27" s="450"/>
      <c r="AF27" s="449"/>
      <c r="AG27" s="452"/>
      <c r="AH27" s="267"/>
      <c r="AI27" s="268"/>
      <c r="AJ27" s="269"/>
      <c r="AK27" s="267"/>
      <c r="AL27" s="268"/>
      <c r="AM27" s="269"/>
      <c r="AN27" s="267"/>
      <c r="AO27" s="268"/>
      <c r="AP27" s="453"/>
      <c r="AQ27" s="450"/>
      <c r="AS27" s="449"/>
      <c r="AT27" s="452"/>
      <c r="AU27" s="267"/>
      <c r="AV27" s="268"/>
      <c r="AW27" s="269"/>
      <c r="AX27" s="267"/>
      <c r="AY27" s="268"/>
      <c r="AZ27" s="269"/>
      <c r="BA27" s="267"/>
      <c r="BB27" s="268"/>
      <c r="BC27" s="453"/>
      <c r="BD27" s="450"/>
      <c r="BF27" s="449"/>
      <c r="BG27" s="452"/>
      <c r="BH27" s="267"/>
      <c r="BI27" s="268"/>
      <c r="BJ27" s="269"/>
      <c r="BK27" s="267"/>
      <c r="BL27" s="268"/>
      <c r="BM27" s="269"/>
      <c r="BN27" s="267"/>
      <c r="BO27" s="268"/>
      <c r="BP27" s="453"/>
      <c r="BQ27" s="450"/>
    </row>
    <row r="28" spans="1:69" hidden="1" x14ac:dyDescent="0.25">
      <c r="A28" t="s">
        <v>373</v>
      </c>
      <c r="F28" s="449"/>
      <c r="G28" s="452"/>
      <c r="H28" s="269"/>
      <c r="I28" s="269"/>
      <c r="J28" s="269"/>
      <c r="K28" s="269"/>
      <c r="L28" s="269"/>
      <c r="M28" s="269"/>
      <c r="N28" s="269"/>
      <c r="O28" s="269"/>
      <c r="P28" s="453"/>
      <c r="Q28" s="450"/>
      <c r="S28" s="449"/>
      <c r="T28" s="452"/>
      <c r="U28" s="269"/>
      <c r="V28" s="269"/>
      <c r="W28" s="269"/>
      <c r="X28" s="269"/>
      <c r="Y28" s="269"/>
      <c r="Z28" s="269"/>
      <c r="AA28" s="269"/>
      <c r="AB28" s="269"/>
      <c r="AC28" s="453"/>
      <c r="AD28" s="450"/>
      <c r="AF28" s="449"/>
      <c r="AG28" s="452"/>
      <c r="AH28" s="269"/>
      <c r="AI28" s="269"/>
      <c r="AJ28" s="269"/>
      <c r="AK28" s="269"/>
      <c r="AL28" s="269"/>
      <c r="AM28" s="269"/>
      <c r="AN28" s="269"/>
      <c r="AO28" s="269"/>
      <c r="AP28" s="453"/>
      <c r="AQ28" s="450"/>
      <c r="AS28" s="449"/>
      <c r="AT28" s="452"/>
      <c r="AU28" s="269"/>
      <c r="AV28" s="269"/>
      <c r="AW28" s="269"/>
      <c r="AX28" s="269"/>
      <c r="AY28" s="269"/>
      <c r="AZ28" s="269"/>
      <c r="BA28" s="269"/>
      <c r="BB28" s="269"/>
      <c r="BC28" s="453"/>
      <c r="BD28" s="450"/>
      <c r="BF28" s="449"/>
      <c r="BG28" s="452"/>
      <c r="BH28" s="269"/>
      <c r="BI28" s="269"/>
      <c r="BJ28" s="269"/>
      <c r="BK28" s="269"/>
      <c r="BL28" s="269"/>
      <c r="BM28" s="269"/>
      <c r="BN28" s="269"/>
      <c r="BO28" s="269"/>
      <c r="BP28" s="453"/>
      <c r="BQ28" s="450"/>
    </row>
    <row r="29" spans="1:69" ht="56.85" hidden="1" customHeight="1" x14ac:dyDescent="0.25">
      <c r="A29" t="s">
        <v>13</v>
      </c>
      <c r="F29" s="449"/>
      <c r="G29" s="452"/>
      <c r="H29" s="265"/>
      <c r="I29" s="266"/>
      <c r="J29" s="269"/>
      <c r="K29" s="265"/>
      <c r="L29" s="266"/>
      <c r="M29" s="269"/>
      <c r="N29" s="265"/>
      <c r="O29" s="266"/>
      <c r="P29" s="453"/>
      <c r="Q29" s="450"/>
      <c r="S29" s="449"/>
      <c r="T29" s="452"/>
      <c r="U29" s="265"/>
      <c r="V29" s="266"/>
      <c r="W29" s="269"/>
      <c r="X29" s="265"/>
      <c r="Y29" s="266"/>
      <c r="Z29" s="269"/>
      <c r="AA29" s="265"/>
      <c r="AB29" s="266"/>
      <c r="AC29" s="453"/>
      <c r="AD29" s="450"/>
      <c r="AF29" s="449"/>
      <c r="AG29" s="452"/>
      <c r="AH29" s="265"/>
      <c r="AI29" s="266"/>
      <c r="AJ29" s="269"/>
      <c r="AK29" s="265"/>
      <c r="AL29" s="266"/>
      <c r="AM29" s="269"/>
      <c r="AN29" s="265"/>
      <c r="AO29" s="266"/>
      <c r="AP29" s="453"/>
      <c r="AQ29" s="450"/>
      <c r="AS29" s="449"/>
      <c r="AT29" s="452"/>
      <c r="AU29" s="265"/>
      <c r="AV29" s="266"/>
      <c r="AW29" s="269"/>
      <c r="AX29" s="265"/>
      <c r="AY29" s="266"/>
      <c r="AZ29" s="269"/>
      <c r="BA29" s="265"/>
      <c r="BB29" s="266"/>
      <c r="BC29" s="453"/>
      <c r="BD29" s="450"/>
      <c r="BF29" s="449"/>
      <c r="BG29" s="452"/>
      <c r="BH29" s="265"/>
      <c r="BI29" s="266"/>
      <c r="BJ29" s="269"/>
      <c r="BK29" s="265"/>
      <c r="BL29" s="266"/>
      <c r="BM29" s="269"/>
      <c r="BN29" s="265"/>
      <c r="BO29" s="266"/>
      <c r="BP29" s="453"/>
      <c r="BQ29" s="450"/>
    </row>
    <row r="30" spans="1:69" ht="56.85" hidden="1" customHeight="1" x14ac:dyDescent="0.25">
      <c r="A30" t="s">
        <v>14</v>
      </c>
      <c r="F30" s="449"/>
      <c r="G30" s="452"/>
      <c r="H30" s="267"/>
      <c r="I30" s="268"/>
      <c r="J30" s="269"/>
      <c r="K30" s="267"/>
      <c r="L30" s="268"/>
      <c r="M30" s="269"/>
      <c r="N30" s="267"/>
      <c r="O30" s="268"/>
      <c r="P30" s="453"/>
      <c r="Q30" s="450"/>
      <c r="S30" s="449"/>
      <c r="T30" s="452"/>
      <c r="U30" s="267"/>
      <c r="V30" s="268"/>
      <c r="W30" s="269"/>
      <c r="X30" s="267"/>
      <c r="Y30" s="268"/>
      <c r="Z30" s="269"/>
      <c r="AA30" s="267"/>
      <c r="AB30" s="268"/>
      <c r="AC30" s="453"/>
      <c r="AD30" s="450"/>
      <c r="AF30" s="449"/>
      <c r="AG30" s="452"/>
      <c r="AH30" s="267"/>
      <c r="AI30" s="268"/>
      <c r="AJ30" s="269"/>
      <c r="AK30" s="267"/>
      <c r="AL30" s="268"/>
      <c r="AM30" s="269"/>
      <c r="AN30" s="267"/>
      <c r="AO30" s="268"/>
      <c r="AP30" s="453"/>
      <c r="AQ30" s="450"/>
      <c r="AS30" s="449"/>
      <c r="AT30" s="452"/>
      <c r="AU30" s="267"/>
      <c r="AV30" s="268"/>
      <c r="AW30" s="269"/>
      <c r="AX30" s="267"/>
      <c r="AY30" s="268"/>
      <c r="AZ30" s="269"/>
      <c r="BA30" s="267"/>
      <c r="BB30" s="268"/>
      <c r="BC30" s="453"/>
      <c r="BD30" s="450"/>
      <c r="BF30" s="449"/>
      <c r="BG30" s="452"/>
      <c r="BH30" s="267"/>
      <c r="BI30" s="268"/>
      <c r="BJ30" s="269"/>
      <c r="BK30" s="267"/>
      <c r="BL30" s="268"/>
      <c r="BM30" s="269"/>
      <c r="BN30" s="267"/>
      <c r="BO30" s="268"/>
      <c r="BP30" s="453"/>
      <c r="BQ30" s="450"/>
    </row>
    <row r="31" spans="1:69" hidden="1" x14ac:dyDescent="0.25">
      <c r="A31" t="s">
        <v>15</v>
      </c>
      <c r="F31" s="449"/>
      <c r="G31" s="263"/>
      <c r="H31" s="451"/>
      <c r="I31" s="451"/>
      <c r="J31" s="451"/>
      <c r="K31" s="451"/>
      <c r="L31" s="451"/>
      <c r="M31" s="451"/>
      <c r="N31" s="451"/>
      <c r="O31" s="451"/>
      <c r="P31" s="263"/>
      <c r="Q31" s="450"/>
      <c r="S31" s="449"/>
      <c r="T31" s="263"/>
      <c r="U31" s="451"/>
      <c r="V31" s="451"/>
      <c r="W31" s="451"/>
      <c r="X31" s="451"/>
      <c r="Y31" s="451"/>
      <c r="Z31" s="451"/>
      <c r="AA31" s="451"/>
      <c r="AB31" s="451"/>
      <c r="AC31" s="263"/>
      <c r="AD31" s="450"/>
      <c r="AF31" s="449"/>
      <c r="AG31" s="263"/>
      <c r="AH31" s="451"/>
      <c r="AI31" s="451"/>
      <c r="AJ31" s="451"/>
      <c r="AK31" s="451"/>
      <c r="AL31" s="451"/>
      <c r="AM31" s="451"/>
      <c r="AN31" s="451"/>
      <c r="AO31" s="451"/>
      <c r="AP31" s="263"/>
      <c r="AQ31" s="450"/>
      <c r="AS31" s="449"/>
      <c r="AT31" s="263"/>
      <c r="AU31" s="451"/>
      <c r="AV31" s="451"/>
      <c r="AW31" s="451"/>
      <c r="AX31" s="451"/>
      <c r="AY31" s="451"/>
      <c r="AZ31" s="451"/>
      <c r="BA31" s="451"/>
      <c r="BB31" s="451"/>
      <c r="BC31" s="263"/>
      <c r="BD31" s="450"/>
      <c r="BF31" s="449"/>
      <c r="BG31" s="263"/>
      <c r="BH31" s="451"/>
      <c r="BI31" s="451"/>
      <c r="BJ31" s="451"/>
      <c r="BK31" s="451"/>
      <c r="BL31" s="451"/>
      <c r="BM31" s="451"/>
      <c r="BN31" s="451"/>
      <c r="BO31" s="451"/>
      <c r="BP31" s="263"/>
      <c r="BQ31" s="450"/>
    </row>
    <row r="32" spans="1:69" hidden="1" x14ac:dyDescent="0.25">
      <c r="A32" t="s">
        <v>154</v>
      </c>
      <c r="G32" s="448" t="s">
        <v>1251</v>
      </c>
      <c r="H32" s="448"/>
      <c r="I32" s="448"/>
      <c r="J32" s="448"/>
      <c r="K32" s="448"/>
      <c r="L32" s="448"/>
      <c r="M32" s="448"/>
      <c r="N32" s="448"/>
      <c r="O32" s="448"/>
      <c r="P32" s="448"/>
      <c r="T32" s="448" t="s">
        <v>1251</v>
      </c>
      <c r="U32" s="448"/>
      <c r="V32" s="448"/>
      <c r="W32" s="448"/>
      <c r="X32" s="448"/>
      <c r="Y32" s="448"/>
      <c r="Z32" s="448"/>
      <c r="AA32" s="448"/>
      <c r="AB32" s="448"/>
      <c r="AC32" s="448"/>
      <c r="AG32" s="448" t="s">
        <v>1251</v>
      </c>
      <c r="AH32" s="448"/>
      <c r="AI32" s="448"/>
      <c r="AJ32" s="448"/>
      <c r="AK32" s="448"/>
      <c r="AL32" s="448"/>
      <c r="AM32" s="448"/>
      <c r="AN32" s="448"/>
      <c r="AO32" s="448"/>
      <c r="AP32" s="448"/>
      <c r="AT32" s="448" t="s">
        <v>1251</v>
      </c>
      <c r="AU32" s="448"/>
      <c r="AV32" s="448"/>
      <c r="AW32" s="448"/>
      <c r="AX32" s="448"/>
      <c r="AY32" s="448"/>
      <c r="AZ32" s="448"/>
      <c r="BA32" s="448"/>
      <c r="BB32" s="448"/>
      <c r="BC32" s="448"/>
      <c r="BG32" s="448" t="s">
        <v>1251</v>
      </c>
      <c r="BH32" s="448"/>
      <c r="BI32" s="448"/>
      <c r="BJ32" s="448"/>
      <c r="BK32" s="448"/>
      <c r="BL32" s="448"/>
      <c r="BM32" s="448"/>
      <c r="BN32" s="448"/>
      <c r="BO32" s="448"/>
      <c r="BP32" s="448"/>
    </row>
    <row r="33" spans="1:69" hidden="1" x14ac:dyDescent="0.25">
      <c r="A33" t="s">
        <v>16</v>
      </c>
    </row>
    <row r="34" spans="1:69" x14ac:dyDescent="0.25">
      <c r="A34" t="s">
        <v>17</v>
      </c>
      <c r="G34" s="448" t="s">
        <v>1251</v>
      </c>
      <c r="H34" s="448"/>
      <c r="I34" s="448"/>
      <c r="J34" s="448"/>
      <c r="K34" s="448"/>
      <c r="L34" s="448"/>
      <c r="M34" s="448"/>
      <c r="N34" s="448"/>
      <c r="O34" s="448"/>
      <c r="P34" s="448"/>
      <c r="T34" s="448" t="s">
        <v>1251</v>
      </c>
      <c r="U34" s="448"/>
      <c r="V34" s="448"/>
      <c r="W34" s="448"/>
      <c r="X34" s="448"/>
      <c r="Y34" s="448"/>
      <c r="Z34" s="448"/>
      <c r="AA34" s="448"/>
      <c r="AB34" s="448"/>
      <c r="AC34" s="448"/>
      <c r="AG34" s="448" t="s">
        <v>1251</v>
      </c>
      <c r="AH34" s="448"/>
      <c r="AI34" s="448"/>
      <c r="AJ34" s="448"/>
      <c r="AK34" s="448"/>
      <c r="AL34" s="448"/>
      <c r="AM34" s="448"/>
      <c r="AN34" s="448"/>
      <c r="AO34" s="448"/>
      <c r="AP34" s="448"/>
      <c r="AT34" s="448" t="s">
        <v>1251</v>
      </c>
      <c r="AU34" s="448"/>
      <c r="AV34" s="448"/>
      <c r="AW34" s="448"/>
      <c r="AX34" s="448"/>
      <c r="AY34" s="448"/>
      <c r="AZ34" s="448"/>
      <c r="BA34" s="448"/>
      <c r="BB34" s="448"/>
      <c r="BC34" s="448"/>
      <c r="BG34" s="448" t="s">
        <v>1251</v>
      </c>
      <c r="BH34" s="448"/>
      <c r="BI34" s="448"/>
      <c r="BJ34" s="448"/>
      <c r="BK34" s="448"/>
      <c r="BL34" s="448"/>
      <c r="BM34" s="448"/>
      <c r="BN34" s="448"/>
      <c r="BO34" s="448"/>
      <c r="BP34" s="448"/>
    </row>
    <row r="35" spans="1:69" x14ac:dyDescent="0.25">
      <c r="A35" t="s">
        <v>18</v>
      </c>
      <c r="F35" s="449" t="s">
        <v>1251</v>
      </c>
      <c r="G35" s="263"/>
      <c r="H35" s="451"/>
      <c r="I35" s="451"/>
      <c r="J35" s="451"/>
      <c r="K35" s="451"/>
      <c r="L35" s="451"/>
      <c r="M35" s="451"/>
      <c r="N35" s="451"/>
      <c r="O35" s="451"/>
      <c r="P35" s="263"/>
      <c r="Q35" s="450" t="s">
        <v>1251</v>
      </c>
      <c r="S35" s="449" t="s">
        <v>1251</v>
      </c>
      <c r="T35" s="263"/>
      <c r="U35" s="451"/>
      <c r="V35" s="451"/>
      <c r="W35" s="451"/>
      <c r="X35" s="451"/>
      <c r="Y35" s="451"/>
      <c r="Z35" s="451"/>
      <c r="AA35" s="451"/>
      <c r="AB35" s="451"/>
      <c r="AC35" s="263"/>
      <c r="AD35" s="450" t="s">
        <v>1251</v>
      </c>
      <c r="AF35" s="449" t="s">
        <v>1251</v>
      </c>
      <c r="AG35" s="263"/>
      <c r="AH35" s="451"/>
      <c r="AI35" s="451"/>
      <c r="AJ35" s="451"/>
      <c r="AK35" s="451"/>
      <c r="AL35" s="451"/>
      <c r="AM35" s="451"/>
      <c r="AN35" s="451"/>
      <c r="AO35" s="451"/>
      <c r="AP35" s="263"/>
      <c r="AQ35" s="450" t="s">
        <v>1251</v>
      </c>
      <c r="AS35" s="449" t="s">
        <v>1251</v>
      </c>
      <c r="AT35" s="263"/>
      <c r="AU35" s="451"/>
      <c r="AV35" s="451"/>
      <c r="AW35" s="451"/>
      <c r="AX35" s="451"/>
      <c r="AY35" s="451"/>
      <c r="AZ35" s="451"/>
      <c r="BA35" s="451"/>
      <c r="BB35" s="451"/>
      <c r="BC35" s="263"/>
      <c r="BD35" s="450" t="s">
        <v>1251</v>
      </c>
      <c r="BF35" s="449" t="s">
        <v>1251</v>
      </c>
      <c r="BG35" s="263"/>
      <c r="BH35" s="451"/>
      <c r="BI35" s="451"/>
      <c r="BJ35" s="451"/>
      <c r="BK35" s="451"/>
      <c r="BL35" s="451"/>
      <c r="BM35" s="451"/>
      <c r="BN35" s="451"/>
      <c r="BO35" s="451"/>
      <c r="BP35" s="263"/>
      <c r="BQ35" s="450" t="s">
        <v>1251</v>
      </c>
    </row>
    <row r="36" spans="1:69" ht="56.85" customHeight="1" x14ac:dyDescent="0.25">
      <c r="A36" t="s">
        <v>19</v>
      </c>
      <c r="F36" s="449"/>
      <c r="G36" s="452"/>
      <c r="H36" s="265"/>
      <c r="I36" s="266"/>
      <c r="J36" s="269"/>
      <c r="K36" s="265"/>
      <c r="L36" s="266"/>
      <c r="M36" s="269"/>
      <c r="N36" s="265"/>
      <c r="O36" s="266"/>
      <c r="P36" s="453"/>
      <c r="Q36" s="450"/>
      <c r="S36" s="449"/>
      <c r="T36" s="452"/>
      <c r="U36" s="265"/>
      <c r="V36" s="266"/>
      <c r="W36" s="269"/>
      <c r="X36" s="265"/>
      <c r="Y36" s="266"/>
      <c r="Z36" s="269"/>
      <c r="AA36" s="265"/>
      <c r="AB36" s="266"/>
      <c r="AC36" s="453"/>
      <c r="AD36" s="450"/>
      <c r="AF36" s="449"/>
      <c r="AG36" s="452"/>
      <c r="AH36" s="276"/>
      <c r="AI36" s="277"/>
      <c r="AJ36" s="278"/>
      <c r="AK36" s="276"/>
      <c r="AL36" s="277"/>
      <c r="AM36" s="278"/>
      <c r="AN36" s="276"/>
      <c r="AO36" s="277"/>
      <c r="AP36" s="453"/>
      <c r="AQ36" s="450"/>
      <c r="AS36" s="449"/>
      <c r="AT36" s="452"/>
      <c r="AU36" s="265"/>
      <c r="AV36" s="266"/>
      <c r="AW36" s="269"/>
      <c r="AX36" s="265"/>
      <c r="AY36" s="266"/>
      <c r="AZ36" s="269"/>
      <c r="BA36" s="265"/>
      <c r="BB36" s="266"/>
      <c r="BC36" s="453"/>
      <c r="BD36" s="450"/>
      <c r="BF36" s="449"/>
      <c r="BG36" s="452"/>
      <c r="BH36" s="265"/>
      <c r="BI36" s="266"/>
      <c r="BJ36" s="269"/>
      <c r="BK36" s="265"/>
      <c r="BL36" s="266"/>
      <c r="BM36" s="269"/>
      <c r="BN36" s="265"/>
      <c r="BO36" s="266"/>
      <c r="BP36" s="453"/>
      <c r="BQ36" s="450"/>
    </row>
    <row r="37" spans="1:69" ht="56.85" customHeight="1" x14ac:dyDescent="0.25">
      <c r="A37" t="s">
        <v>374</v>
      </c>
      <c r="F37" s="449"/>
      <c r="G37" s="452"/>
      <c r="H37" s="267"/>
      <c r="I37" s="268"/>
      <c r="J37" s="269"/>
      <c r="K37" s="267"/>
      <c r="L37" s="268"/>
      <c r="M37" s="269"/>
      <c r="N37" s="267"/>
      <c r="O37" s="268"/>
      <c r="P37" s="453"/>
      <c r="Q37" s="450"/>
      <c r="S37" s="449"/>
      <c r="T37" s="452"/>
      <c r="U37" s="267"/>
      <c r="V37" s="268"/>
      <c r="W37" s="269"/>
      <c r="X37" s="267"/>
      <c r="Y37" s="268"/>
      <c r="Z37" s="269"/>
      <c r="AA37" s="267"/>
      <c r="AB37" s="268"/>
      <c r="AC37" s="453"/>
      <c r="AD37" s="450"/>
      <c r="AF37" s="449"/>
      <c r="AG37" s="452"/>
      <c r="AH37" s="279"/>
      <c r="AI37" s="280"/>
      <c r="AJ37" s="278"/>
      <c r="AK37" s="279"/>
      <c r="AL37" s="280"/>
      <c r="AM37" s="278"/>
      <c r="AN37" s="279"/>
      <c r="AO37" s="280"/>
      <c r="AP37" s="453"/>
      <c r="AQ37" s="450"/>
      <c r="AS37" s="449"/>
      <c r="AT37" s="452"/>
      <c r="AU37" s="267"/>
      <c r="AV37" s="268"/>
      <c r="AW37" s="269"/>
      <c r="AX37" s="267"/>
      <c r="AY37" s="268"/>
      <c r="AZ37" s="269"/>
      <c r="BA37" s="267"/>
      <c r="BB37" s="268"/>
      <c r="BC37" s="453"/>
      <c r="BD37" s="450"/>
      <c r="BF37" s="449"/>
      <c r="BG37" s="452"/>
      <c r="BH37" s="267"/>
      <c r="BI37" s="268"/>
      <c r="BJ37" s="269"/>
      <c r="BK37" s="267"/>
      <c r="BL37" s="268"/>
      <c r="BM37" s="269"/>
      <c r="BN37" s="267"/>
      <c r="BO37" s="268"/>
      <c r="BP37" s="453"/>
      <c r="BQ37" s="450"/>
    </row>
    <row r="38" spans="1:69" x14ac:dyDescent="0.25">
      <c r="A38" t="s">
        <v>20</v>
      </c>
      <c r="F38" s="449"/>
      <c r="G38" s="452"/>
      <c r="H38" s="269"/>
      <c r="I38" s="269"/>
      <c r="J38" s="269"/>
      <c r="K38" s="269"/>
      <c r="L38" s="269"/>
      <c r="M38" s="269"/>
      <c r="N38" s="269"/>
      <c r="O38" s="269"/>
      <c r="P38" s="453"/>
      <c r="Q38" s="450"/>
      <c r="S38" s="449"/>
      <c r="T38" s="452"/>
      <c r="U38" s="269"/>
      <c r="V38" s="269"/>
      <c r="W38" s="269"/>
      <c r="X38" s="269"/>
      <c r="Y38" s="269"/>
      <c r="Z38" s="269"/>
      <c r="AA38" s="269"/>
      <c r="AB38" s="269"/>
      <c r="AC38" s="453"/>
      <c r="AD38" s="450"/>
      <c r="AF38" s="449"/>
      <c r="AG38" s="452"/>
      <c r="AH38" s="278"/>
      <c r="AI38" s="278"/>
      <c r="AJ38" s="278"/>
      <c r="AK38" s="278"/>
      <c r="AL38" s="278"/>
      <c r="AM38" s="278"/>
      <c r="AN38" s="278"/>
      <c r="AO38" s="278"/>
      <c r="AP38" s="453"/>
      <c r="AQ38" s="450"/>
      <c r="AS38" s="449"/>
      <c r="AT38" s="452"/>
      <c r="AU38" s="269"/>
      <c r="AV38" s="269"/>
      <c r="AW38" s="269"/>
      <c r="AX38" s="269"/>
      <c r="AY38" s="269"/>
      <c r="AZ38" s="269"/>
      <c r="BA38" s="269"/>
      <c r="BB38" s="269"/>
      <c r="BC38" s="453"/>
      <c r="BD38" s="450"/>
      <c r="BF38" s="449"/>
      <c r="BG38" s="452"/>
      <c r="BH38" s="269"/>
      <c r="BI38" s="269"/>
      <c r="BJ38" s="269"/>
      <c r="BK38" s="269"/>
      <c r="BL38" s="269"/>
      <c r="BM38" s="269"/>
      <c r="BN38" s="269"/>
      <c r="BO38" s="269"/>
      <c r="BP38" s="453"/>
      <c r="BQ38" s="450"/>
    </row>
    <row r="39" spans="1:69" ht="56.85" customHeight="1" x14ac:dyDescent="0.25">
      <c r="A39" t="s">
        <v>21</v>
      </c>
      <c r="F39" s="449"/>
      <c r="G39" s="452"/>
      <c r="H39" s="265"/>
      <c r="I39" s="266"/>
      <c r="J39" s="269"/>
      <c r="K39" s="265"/>
      <c r="L39" s="266"/>
      <c r="M39" s="269"/>
      <c r="N39" s="265"/>
      <c r="O39" s="266"/>
      <c r="P39" s="453"/>
      <c r="Q39" s="450"/>
      <c r="S39" s="449"/>
      <c r="T39" s="452"/>
      <c r="U39" s="265"/>
      <c r="V39" s="266"/>
      <c r="W39" s="269"/>
      <c r="X39" s="265"/>
      <c r="Y39" s="266"/>
      <c r="Z39" s="269"/>
      <c r="AA39" s="265"/>
      <c r="AB39" s="266"/>
      <c r="AC39" s="453"/>
      <c r="AD39" s="450"/>
      <c r="AF39" s="449"/>
      <c r="AG39" s="452"/>
      <c r="AH39" s="276"/>
      <c r="AI39" s="277"/>
      <c r="AJ39" s="278"/>
      <c r="AK39" s="276"/>
      <c r="AL39" s="277"/>
      <c r="AM39" s="278"/>
      <c r="AN39" s="276"/>
      <c r="AO39" s="277"/>
      <c r="AP39" s="453"/>
      <c r="AQ39" s="450"/>
      <c r="AS39" s="449"/>
      <c r="AT39" s="452"/>
      <c r="AU39" s="265"/>
      <c r="AV39" s="266"/>
      <c r="AW39" s="269"/>
      <c r="AX39" s="265"/>
      <c r="AY39" s="266"/>
      <c r="AZ39" s="269"/>
      <c r="BA39" s="265"/>
      <c r="BB39" s="266"/>
      <c r="BC39" s="453"/>
      <c r="BD39" s="450"/>
      <c r="BF39" s="449"/>
      <c r="BG39" s="452"/>
      <c r="BH39" s="265"/>
      <c r="BI39" s="266"/>
      <c r="BJ39" s="269"/>
      <c r="BK39" s="265"/>
      <c r="BL39" s="266"/>
      <c r="BM39" s="269"/>
      <c r="BN39" s="265"/>
      <c r="BO39" s="266"/>
      <c r="BP39" s="453"/>
      <c r="BQ39" s="450"/>
    </row>
    <row r="40" spans="1:69" ht="56.85" customHeight="1" x14ac:dyDescent="0.25">
      <c r="A40" t="s">
        <v>22</v>
      </c>
      <c r="F40" s="449"/>
      <c r="G40" s="452"/>
      <c r="H40" s="267"/>
      <c r="I40" s="268"/>
      <c r="J40" s="269"/>
      <c r="K40" s="267"/>
      <c r="L40" s="268"/>
      <c r="M40" s="269"/>
      <c r="N40" s="267"/>
      <c r="O40" s="268"/>
      <c r="P40" s="453"/>
      <c r="Q40" s="450"/>
      <c r="S40" s="449"/>
      <c r="T40" s="452"/>
      <c r="U40" s="267"/>
      <c r="V40" s="268"/>
      <c r="W40" s="269"/>
      <c r="X40" s="267"/>
      <c r="Y40" s="268"/>
      <c r="Z40" s="269"/>
      <c r="AA40" s="267"/>
      <c r="AB40" s="268"/>
      <c r="AC40" s="453"/>
      <c r="AD40" s="450"/>
      <c r="AF40" s="449"/>
      <c r="AG40" s="452"/>
      <c r="AH40" s="279"/>
      <c r="AI40" s="280"/>
      <c r="AJ40" s="278"/>
      <c r="AK40" s="279"/>
      <c r="AL40" s="280"/>
      <c r="AM40" s="278"/>
      <c r="AN40" s="279"/>
      <c r="AO40" s="280"/>
      <c r="AP40" s="453"/>
      <c r="AQ40" s="450"/>
      <c r="AS40" s="449"/>
      <c r="AT40" s="452"/>
      <c r="AU40" s="267"/>
      <c r="AV40" s="268"/>
      <c r="AW40" s="269"/>
      <c r="AX40" s="267"/>
      <c r="AY40" s="268"/>
      <c r="AZ40" s="269"/>
      <c r="BA40" s="267"/>
      <c r="BB40" s="268"/>
      <c r="BC40" s="453"/>
      <c r="BD40" s="450"/>
      <c r="BF40" s="449"/>
      <c r="BG40" s="452"/>
      <c r="BH40" s="267"/>
      <c r="BI40" s="268"/>
      <c r="BJ40" s="269"/>
      <c r="BK40" s="267"/>
      <c r="BL40" s="268"/>
      <c r="BM40" s="269"/>
      <c r="BN40" s="267"/>
      <c r="BO40" s="268"/>
      <c r="BP40" s="453"/>
      <c r="BQ40" s="450"/>
    </row>
    <row r="41" spans="1:69" x14ac:dyDescent="0.25">
      <c r="A41" t="s">
        <v>23</v>
      </c>
      <c r="F41" s="449"/>
      <c r="G41" s="452"/>
      <c r="H41" s="269"/>
      <c r="I41" s="269"/>
      <c r="J41" s="269"/>
      <c r="K41" s="269"/>
      <c r="L41" s="269"/>
      <c r="M41" s="269"/>
      <c r="N41" s="269"/>
      <c r="O41" s="269"/>
      <c r="P41" s="453"/>
      <c r="Q41" s="450"/>
      <c r="S41" s="449"/>
      <c r="T41" s="452"/>
      <c r="U41" s="269"/>
      <c r="V41" s="269"/>
      <c r="W41" s="269"/>
      <c r="X41" s="269"/>
      <c r="Y41" s="269"/>
      <c r="Z41" s="269"/>
      <c r="AA41" s="269"/>
      <c r="AB41" s="269"/>
      <c r="AC41" s="453"/>
      <c r="AD41" s="450"/>
      <c r="AF41" s="449"/>
      <c r="AG41" s="452"/>
      <c r="AH41" s="278"/>
      <c r="AI41" s="278"/>
      <c r="AJ41" s="278"/>
      <c r="AK41" s="278"/>
      <c r="AL41" s="278"/>
      <c r="AM41" s="278"/>
      <c r="AN41" s="278"/>
      <c r="AO41" s="278"/>
      <c r="AP41" s="453"/>
      <c r="AQ41" s="450"/>
      <c r="AS41" s="449"/>
      <c r="AT41" s="452"/>
      <c r="AU41" s="269"/>
      <c r="AV41" s="269"/>
      <c r="AW41" s="269"/>
      <c r="AX41" s="269"/>
      <c r="AY41" s="269"/>
      <c r="AZ41" s="269"/>
      <c r="BA41" s="269"/>
      <c r="BB41" s="269"/>
      <c r="BC41" s="453"/>
      <c r="BD41" s="450"/>
      <c r="BF41" s="449"/>
      <c r="BG41" s="452"/>
      <c r="BH41" s="269"/>
      <c r="BI41" s="269"/>
      <c r="BJ41" s="269"/>
      <c r="BK41" s="269"/>
      <c r="BL41" s="269"/>
      <c r="BM41" s="269"/>
      <c r="BN41" s="269"/>
      <c r="BO41" s="269"/>
      <c r="BP41" s="453"/>
      <c r="BQ41" s="450"/>
    </row>
    <row r="42" spans="1:69" ht="56.85" customHeight="1" x14ac:dyDescent="0.25">
      <c r="A42" t="s">
        <v>24</v>
      </c>
      <c r="F42" s="449"/>
      <c r="G42" s="452"/>
      <c r="H42" s="265"/>
      <c r="I42" s="266"/>
      <c r="J42" s="269"/>
      <c r="K42" s="265"/>
      <c r="L42" s="266"/>
      <c r="M42" s="269"/>
      <c r="N42" s="265"/>
      <c r="O42" s="266"/>
      <c r="P42" s="453"/>
      <c r="Q42" s="450"/>
      <c r="S42" s="449"/>
      <c r="T42" s="452"/>
      <c r="U42" s="265"/>
      <c r="V42" s="266"/>
      <c r="W42" s="269"/>
      <c r="X42" s="265"/>
      <c r="Y42" s="266"/>
      <c r="Z42" s="269"/>
      <c r="AA42" s="265"/>
      <c r="AB42" s="266"/>
      <c r="AC42" s="453"/>
      <c r="AD42" s="450"/>
      <c r="AF42" s="449"/>
      <c r="AG42" s="452"/>
      <c r="AH42" s="276"/>
      <c r="AI42" s="277"/>
      <c r="AJ42" s="278"/>
      <c r="AK42" s="276"/>
      <c r="AL42" s="277"/>
      <c r="AM42" s="278"/>
      <c r="AN42" s="276"/>
      <c r="AO42" s="277"/>
      <c r="AP42" s="453"/>
      <c r="AQ42" s="450"/>
      <c r="AS42" s="449"/>
      <c r="AT42" s="452"/>
      <c r="AU42" s="265"/>
      <c r="AV42" s="266"/>
      <c r="AW42" s="269"/>
      <c r="AX42" s="265"/>
      <c r="AY42" s="266"/>
      <c r="AZ42" s="269"/>
      <c r="BA42" s="265"/>
      <c r="BB42" s="266"/>
      <c r="BC42" s="453"/>
      <c r="BD42" s="450"/>
      <c r="BF42" s="449"/>
      <c r="BG42" s="452"/>
      <c r="BH42" s="265"/>
      <c r="BI42" s="266"/>
      <c r="BJ42" s="269"/>
      <c r="BK42" s="265"/>
      <c r="BL42" s="266"/>
      <c r="BM42" s="269"/>
      <c r="BN42" s="265"/>
      <c r="BO42" s="266"/>
      <c r="BP42" s="453"/>
      <c r="BQ42" s="450"/>
    </row>
    <row r="43" spans="1:69" ht="56.85" customHeight="1" x14ac:dyDescent="0.25">
      <c r="A43" t="s">
        <v>25</v>
      </c>
      <c r="F43" s="449"/>
      <c r="G43" s="452"/>
      <c r="H43" s="267"/>
      <c r="I43" s="268"/>
      <c r="J43" s="269"/>
      <c r="K43" s="267"/>
      <c r="L43" s="268"/>
      <c r="M43" s="269"/>
      <c r="N43" s="267"/>
      <c r="O43" s="268"/>
      <c r="P43" s="453"/>
      <c r="Q43" s="450"/>
      <c r="S43" s="449"/>
      <c r="T43" s="452"/>
      <c r="U43" s="267"/>
      <c r="V43" s="268"/>
      <c r="W43" s="269"/>
      <c r="X43" s="267"/>
      <c r="Y43" s="268"/>
      <c r="Z43" s="269"/>
      <c r="AA43" s="267"/>
      <c r="AB43" s="268"/>
      <c r="AC43" s="453"/>
      <c r="AD43" s="450"/>
      <c r="AF43" s="449"/>
      <c r="AG43" s="452"/>
      <c r="AH43" s="279"/>
      <c r="AI43" s="280"/>
      <c r="AJ43" s="278"/>
      <c r="AK43" s="279"/>
      <c r="AL43" s="280"/>
      <c r="AM43" s="278"/>
      <c r="AN43" s="279"/>
      <c r="AO43" s="280"/>
      <c r="AP43" s="453"/>
      <c r="AQ43" s="450"/>
      <c r="AS43" s="449"/>
      <c r="AT43" s="452"/>
      <c r="AU43" s="267"/>
      <c r="AV43" s="268"/>
      <c r="AW43" s="269"/>
      <c r="AX43" s="267"/>
      <c r="AY43" s="268"/>
      <c r="AZ43" s="269"/>
      <c r="BA43" s="267"/>
      <c r="BB43" s="268"/>
      <c r="BC43" s="453"/>
      <c r="BD43" s="450"/>
      <c r="BF43" s="449"/>
      <c r="BG43" s="452"/>
      <c r="BH43" s="267"/>
      <c r="BI43" s="268"/>
      <c r="BJ43" s="269"/>
      <c r="BK43" s="267"/>
      <c r="BL43" s="268"/>
      <c r="BM43" s="269"/>
      <c r="BN43" s="267"/>
      <c r="BO43" s="268"/>
      <c r="BP43" s="453"/>
      <c r="BQ43" s="450"/>
    </row>
    <row r="44" spans="1:69" x14ac:dyDescent="0.25">
      <c r="A44" t="s">
        <v>375</v>
      </c>
      <c r="F44" s="449"/>
      <c r="G44" s="263"/>
      <c r="H44" s="451"/>
      <c r="I44" s="451"/>
      <c r="J44" s="451"/>
      <c r="K44" s="451"/>
      <c r="L44" s="451"/>
      <c r="M44" s="451"/>
      <c r="N44" s="451"/>
      <c r="O44" s="451"/>
      <c r="P44" s="263"/>
      <c r="Q44" s="450"/>
      <c r="S44" s="449"/>
      <c r="T44" s="263"/>
      <c r="U44" s="451"/>
      <c r="V44" s="451"/>
      <c r="W44" s="451"/>
      <c r="X44" s="451"/>
      <c r="Y44" s="451"/>
      <c r="Z44" s="451"/>
      <c r="AA44" s="451"/>
      <c r="AB44" s="451"/>
      <c r="AC44" s="263"/>
      <c r="AD44" s="450"/>
      <c r="AF44" s="449"/>
      <c r="AG44" s="263"/>
      <c r="AH44" s="451"/>
      <c r="AI44" s="451"/>
      <c r="AJ44" s="451"/>
      <c r="AK44" s="451"/>
      <c r="AL44" s="451"/>
      <c r="AM44" s="451"/>
      <c r="AN44" s="451"/>
      <c r="AO44" s="451"/>
      <c r="AP44" s="263"/>
      <c r="AQ44" s="450"/>
      <c r="AS44" s="449"/>
      <c r="AT44" s="263"/>
      <c r="AU44" s="451"/>
      <c r="AV44" s="451"/>
      <c r="AW44" s="451"/>
      <c r="AX44" s="451"/>
      <c r="AY44" s="451"/>
      <c r="AZ44" s="451"/>
      <c r="BA44" s="451"/>
      <c r="BB44" s="451"/>
      <c r="BC44" s="263"/>
      <c r="BD44" s="450"/>
      <c r="BF44" s="449"/>
      <c r="BG44" s="263"/>
      <c r="BH44" s="451"/>
      <c r="BI44" s="451"/>
      <c r="BJ44" s="451"/>
      <c r="BK44" s="451"/>
      <c r="BL44" s="451"/>
      <c r="BM44" s="451"/>
      <c r="BN44" s="451"/>
      <c r="BO44" s="451"/>
      <c r="BP44" s="263"/>
      <c r="BQ44" s="450"/>
    </row>
    <row r="45" spans="1:69" x14ac:dyDescent="0.25">
      <c r="A45" t="s">
        <v>26</v>
      </c>
      <c r="G45" s="448" t="s">
        <v>1251</v>
      </c>
      <c r="H45" s="448"/>
      <c r="I45" s="448"/>
      <c r="J45" s="448"/>
      <c r="K45" s="448"/>
      <c r="L45" s="448"/>
      <c r="M45" s="448"/>
      <c r="N45" s="448"/>
      <c r="O45" s="448"/>
      <c r="P45" s="448"/>
      <c r="T45" s="448" t="s">
        <v>1251</v>
      </c>
      <c r="U45" s="448"/>
      <c r="V45" s="448"/>
      <c r="W45" s="448"/>
      <c r="X45" s="448"/>
      <c r="Y45" s="448"/>
      <c r="Z45" s="448"/>
      <c r="AA45" s="448"/>
      <c r="AB45" s="448"/>
      <c r="AC45" s="448"/>
      <c r="AG45" s="448" t="s">
        <v>1251</v>
      </c>
      <c r="AH45" s="448"/>
      <c r="AI45" s="448"/>
      <c r="AJ45" s="448"/>
      <c r="AK45" s="448"/>
      <c r="AL45" s="448"/>
      <c r="AM45" s="448"/>
      <c r="AN45" s="448"/>
      <c r="AO45" s="448"/>
      <c r="AP45" s="448"/>
      <c r="AT45" s="448" t="s">
        <v>1251</v>
      </c>
      <c r="AU45" s="448"/>
      <c r="AV45" s="448"/>
      <c r="AW45" s="448"/>
      <c r="AX45" s="448"/>
      <c r="AY45" s="448"/>
      <c r="AZ45" s="448"/>
      <c r="BA45" s="448"/>
      <c r="BB45" s="448"/>
      <c r="BC45" s="448"/>
      <c r="BG45" s="448" t="s">
        <v>1251</v>
      </c>
      <c r="BH45" s="448"/>
      <c r="BI45" s="448"/>
      <c r="BJ45" s="448"/>
      <c r="BK45" s="448"/>
      <c r="BL45" s="448"/>
      <c r="BM45" s="448"/>
      <c r="BN45" s="448"/>
      <c r="BO45" s="448"/>
      <c r="BP45" s="448"/>
    </row>
    <row r="46" spans="1:69" hidden="1" x14ac:dyDescent="0.25">
      <c r="A46" t="s">
        <v>27</v>
      </c>
    </row>
    <row r="47" spans="1:69" hidden="1" x14ac:dyDescent="0.25">
      <c r="A47" t="s">
        <v>376</v>
      </c>
      <c r="G47" s="448" t="s">
        <v>1251</v>
      </c>
      <c r="H47" s="448"/>
      <c r="I47" s="448"/>
      <c r="J47" s="448"/>
      <c r="K47" s="448"/>
      <c r="L47" s="448"/>
      <c r="M47" s="448"/>
      <c r="N47" s="448"/>
      <c r="O47" s="448"/>
      <c r="P47" s="448"/>
      <c r="T47" s="448" t="s">
        <v>1251</v>
      </c>
      <c r="U47" s="448"/>
      <c r="V47" s="448"/>
      <c r="W47" s="448"/>
      <c r="X47" s="448"/>
      <c r="Y47" s="448"/>
      <c r="Z47" s="448"/>
      <c r="AA47" s="448"/>
      <c r="AB47" s="448"/>
      <c r="AC47" s="448"/>
      <c r="AG47" s="448" t="s">
        <v>1251</v>
      </c>
      <c r="AH47" s="448"/>
      <c r="AI47" s="448"/>
      <c r="AJ47" s="448"/>
      <c r="AK47" s="448"/>
      <c r="AL47" s="448"/>
      <c r="AM47" s="448"/>
      <c r="AN47" s="448"/>
      <c r="AO47" s="448"/>
      <c r="AP47" s="448"/>
      <c r="AT47" s="448" t="s">
        <v>1251</v>
      </c>
      <c r="AU47" s="448"/>
      <c r="AV47" s="448"/>
      <c r="AW47" s="448"/>
      <c r="AX47" s="448"/>
      <c r="AY47" s="448"/>
      <c r="AZ47" s="448"/>
      <c r="BA47" s="448"/>
      <c r="BB47" s="448"/>
      <c r="BC47" s="448"/>
      <c r="BG47" s="448" t="s">
        <v>1251</v>
      </c>
      <c r="BH47" s="448"/>
      <c r="BI47" s="448"/>
      <c r="BJ47" s="448"/>
      <c r="BK47" s="448"/>
      <c r="BL47" s="448"/>
      <c r="BM47" s="448"/>
      <c r="BN47" s="448"/>
      <c r="BO47" s="448"/>
      <c r="BP47" s="448"/>
    </row>
    <row r="48" spans="1:69" hidden="1" x14ac:dyDescent="0.25">
      <c r="A48" t="s">
        <v>28</v>
      </c>
      <c r="F48" s="449" t="s">
        <v>1251</v>
      </c>
      <c r="G48" s="263"/>
      <c r="H48" s="451"/>
      <c r="I48" s="451"/>
      <c r="J48" s="451"/>
      <c r="K48" s="451"/>
      <c r="L48" s="451"/>
      <c r="M48" s="451"/>
      <c r="N48" s="451"/>
      <c r="O48" s="451"/>
      <c r="P48" s="263"/>
      <c r="Q48" s="450" t="s">
        <v>1251</v>
      </c>
      <c r="S48" s="449" t="s">
        <v>1251</v>
      </c>
      <c r="T48" s="263"/>
      <c r="U48" s="451"/>
      <c r="V48" s="451"/>
      <c r="W48" s="451"/>
      <c r="X48" s="451"/>
      <c r="Y48" s="451"/>
      <c r="Z48" s="451"/>
      <c r="AA48" s="451"/>
      <c r="AB48" s="451"/>
      <c r="AC48" s="263"/>
      <c r="AD48" s="450" t="s">
        <v>1251</v>
      </c>
      <c r="AF48" s="449" t="s">
        <v>1251</v>
      </c>
      <c r="AG48" s="263"/>
      <c r="AH48" s="451"/>
      <c r="AI48" s="451"/>
      <c r="AJ48" s="451"/>
      <c r="AK48" s="451"/>
      <c r="AL48" s="451"/>
      <c r="AM48" s="451"/>
      <c r="AN48" s="451"/>
      <c r="AO48" s="451"/>
      <c r="AP48" s="263"/>
      <c r="AQ48" s="450" t="s">
        <v>1251</v>
      </c>
      <c r="AS48" s="449" t="s">
        <v>1251</v>
      </c>
      <c r="AT48" s="263"/>
      <c r="AU48" s="451"/>
      <c r="AV48" s="451"/>
      <c r="AW48" s="451"/>
      <c r="AX48" s="451"/>
      <c r="AY48" s="451"/>
      <c r="AZ48" s="451"/>
      <c r="BA48" s="451"/>
      <c r="BB48" s="451"/>
      <c r="BC48" s="263"/>
      <c r="BD48" s="450" t="s">
        <v>1251</v>
      </c>
      <c r="BF48" s="449" t="s">
        <v>1251</v>
      </c>
      <c r="BG48" s="263"/>
      <c r="BH48" s="451"/>
      <c r="BI48" s="451"/>
      <c r="BJ48" s="451"/>
      <c r="BK48" s="451"/>
      <c r="BL48" s="451"/>
      <c r="BM48" s="451"/>
      <c r="BN48" s="451"/>
      <c r="BO48" s="451"/>
      <c r="BP48" s="263"/>
      <c r="BQ48" s="450" t="s">
        <v>1251</v>
      </c>
    </row>
    <row r="49" spans="1:69" ht="56.85" hidden="1" customHeight="1" x14ac:dyDescent="0.25">
      <c r="A49" t="s">
        <v>1248</v>
      </c>
      <c r="F49" s="449"/>
      <c r="G49" s="452"/>
      <c r="H49" s="265"/>
      <c r="I49" s="266"/>
      <c r="J49" s="269"/>
      <c r="K49" s="265"/>
      <c r="L49" s="266"/>
      <c r="M49" s="269"/>
      <c r="N49" s="265"/>
      <c r="O49" s="266"/>
      <c r="P49" s="453"/>
      <c r="Q49" s="450"/>
      <c r="S49" s="449"/>
      <c r="T49" s="452"/>
      <c r="U49" s="265"/>
      <c r="V49" s="266"/>
      <c r="W49" s="269"/>
      <c r="X49" s="265"/>
      <c r="Y49" s="266"/>
      <c r="Z49" s="269"/>
      <c r="AA49" s="265"/>
      <c r="AB49" s="266"/>
      <c r="AC49" s="453"/>
      <c r="AD49" s="450"/>
      <c r="AF49" s="449"/>
      <c r="AG49" s="452"/>
      <c r="AH49" s="265"/>
      <c r="AI49" s="266"/>
      <c r="AJ49" s="269"/>
      <c r="AK49" s="265"/>
      <c r="AL49" s="266"/>
      <c r="AM49" s="269"/>
      <c r="AN49" s="265"/>
      <c r="AO49" s="266"/>
      <c r="AP49" s="453"/>
      <c r="AQ49" s="450"/>
      <c r="AS49" s="449"/>
      <c r="AT49" s="452"/>
      <c r="AU49" s="265"/>
      <c r="AV49" s="266"/>
      <c r="AW49" s="269"/>
      <c r="AX49" s="265"/>
      <c r="AY49" s="266"/>
      <c r="AZ49" s="269"/>
      <c r="BA49" s="265"/>
      <c r="BB49" s="266"/>
      <c r="BC49" s="453"/>
      <c r="BD49" s="450"/>
      <c r="BF49" s="449"/>
      <c r="BG49" s="452"/>
      <c r="BH49" s="265"/>
      <c r="BI49" s="266"/>
      <c r="BJ49" s="269"/>
      <c r="BK49" s="265"/>
      <c r="BL49" s="266"/>
      <c r="BM49" s="269"/>
      <c r="BN49" s="265"/>
      <c r="BO49" s="266"/>
      <c r="BP49" s="453"/>
      <c r="BQ49" s="450"/>
    </row>
    <row r="50" spans="1:69" ht="56.85" hidden="1" customHeight="1" x14ac:dyDescent="0.25">
      <c r="A50" t="s">
        <v>29</v>
      </c>
      <c r="F50" s="449"/>
      <c r="G50" s="452"/>
      <c r="H50" s="267"/>
      <c r="I50" s="268"/>
      <c r="J50" s="269"/>
      <c r="K50" s="267"/>
      <c r="L50" s="268"/>
      <c r="M50" s="269"/>
      <c r="N50" s="267"/>
      <c r="O50" s="268"/>
      <c r="P50" s="453"/>
      <c r="Q50" s="450"/>
      <c r="S50" s="449"/>
      <c r="T50" s="452"/>
      <c r="U50" s="267"/>
      <c r="V50" s="268"/>
      <c r="W50" s="269"/>
      <c r="X50" s="267"/>
      <c r="Y50" s="268"/>
      <c r="Z50" s="269"/>
      <c r="AA50" s="267"/>
      <c r="AB50" s="268"/>
      <c r="AC50" s="453"/>
      <c r="AD50" s="450"/>
      <c r="AF50" s="449"/>
      <c r="AG50" s="452"/>
      <c r="AH50" s="267"/>
      <c r="AI50" s="268"/>
      <c r="AJ50" s="269"/>
      <c r="AK50" s="267"/>
      <c r="AL50" s="268"/>
      <c r="AM50" s="269"/>
      <c r="AN50" s="267"/>
      <c r="AO50" s="268"/>
      <c r="AP50" s="453"/>
      <c r="AQ50" s="450"/>
      <c r="AS50" s="449"/>
      <c r="AT50" s="452"/>
      <c r="AU50" s="267"/>
      <c r="AV50" s="268"/>
      <c r="AW50" s="269"/>
      <c r="AX50" s="267"/>
      <c r="AY50" s="268"/>
      <c r="AZ50" s="269"/>
      <c r="BA50" s="267"/>
      <c r="BB50" s="268"/>
      <c r="BC50" s="453"/>
      <c r="BD50" s="450"/>
      <c r="BF50" s="449"/>
      <c r="BG50" s="452"/>
      <c r="BH50" s="267"/>
      <c r="BI50" s="268"/>
      <c r="BJ50" s="269"/>
      <c r="BK50" s="267"/>
      <c r="BL50" s="268"/>
      <c r="BM50" s="269"/>
      <c r="BN50" s="267"/>
      <c r="BO50" s="268"/>
      <c r="BP50" s="453"/>
      <c r="BQ50" s="450"/>
    </row>
    <row r="51" spans="1:69" hidden="1" x14ac:dyDescent="0.25">
      <c r="A51" t="s">
        <v>30</v>
      </c>
      <c r="F51" s="449"/>
      <c r="G51" s="452"/>
      <c r="H51" s="269"/>
      <c r="I51" s="269"/>
      <c r="J51" s="269"/>
      <c r="K51" s="269"/>
      <c r="L51" s="269"/>
      <c r="M51" s="269"/>
      <c r="N51" s="269"/>
      <c r="O51" s="269"/>
      <c r="P51" s="453"/>
      <c r="Q51" s="450"/>
      <c r="S51" s="449"/>
      <c r="T51" s="452"/>
      <c r="U51" s="269"/>
      <c r="V51" s="269"/>
      <c r="W51" s="269"/>
      <c r="X51" s="269"/>
      <c r="Y51" s="269"/>
      <c r="Z51" s="269"/>
      <c r="AA51" s="269"/>
      <c r="AB51" s="269"/>
      <c r="AC51" s="453"/>
      <c r="AD51" s="450"/>
      <c r="AF51" s="449"/>
      <c r="AG51" s="452"/>
      <c r="AH51" s="269"/>
      <c r="AI51" s="269"/>
      <c r="AJ51" s="269"/>
      <c r="AK51" s="269"/>
      <c r="AL51" s="269"/>
      <c r="AM51" s="269"/>
      <c r="AN51" s="269"/>
      <c r="AO51" s="269"/>
      <c r="AP51" s="453"/>
      <c r="AQ51" s="450"/>
      <c r="AS51" s="449"/>
      <c r="AT51" s="452"/>
      <c r="AU51" s="269"/>
      <c r="AV51" s="269"/>
      <c r="AW51" s="269"/>
      <c r="AX51" s="269"/>
      <c r="AY51" s="269"/>
      <c r="AZ51" s="269"/>
      <c r="BA51" s="269"/>
      <c r="BB51" s="269"/>
      <c r="BC51" s="453"/>
      <c r="BD51" s="450"/>
      <c r="BF51" s="449"/>
      <c r="BG51" s="452"/>
      <c r="BH51" s="269"/>
      <c r="BI51" s="269"/>
      <c r="BJ51" s="269"/>
      <c r="BK51" s="269"/>
      <c r="BL51" s="269"/>
      <c r="BM51" s="269"/>
      <c r="BN51" s="269"/>
      <c r="BO51" s="269"/>
      <c r="BP51" s="453"/>
      <c r="BQ51" s="450"/>
    </row>
    <row r="52" spans="1:69" ht="56.85" hidden="1" customHeight="1" x14ac:dyDescent="0.25">
      <c r="A52" t="s">
        <v>31</v>
      </c>
      <c r="F52" s="449"/>
      <c r="G52" s="452"/>
      <c r="H52" s="265"/>
      <c r="I52" s="266"/>
      <c r="J52" s="269"/>
      <c r="K52" s="265"/>
      <c r="L52" s="266"/>
      <c r="M52" s="269"/>
      <c r="N52" s="265"/>
      <c r="O52" s="266"/>
      <c r="P52" s="453"/>
      <c r="Q52" s="450"/>
      <c r="S52" s="449"/>
      <c r="T52" s="452"/>
      <c r="U52" s="265"/>
      <c r="V52" s="266"/>
      <c r="W52" s="269"/>
      <c r="X52" s="265"/>
      <c r="Y52" s="266"/>
      <c r="Z52" s="269"/>
      <c r="AA52" s="265"/>
      <c r="AB52" s="266"/>
      <c r="AC52" s="453"/>
      <c r="AD52" s="450"/>
      <c r="AF52" s="449"/>
      <c r="AG52" s="452"/>
      <c r="AH52" s="265"/>
      <c r="AI52" s="266"/>
      <c r="AJ52" s="269"/>
      <c r="AK52" s="265"/>
      <c r="AL52" s="266"/>
      <c r="AM52" s="269"/>
      <c r="AN52" s="265"/>
      <c r="AO52" s="266"/>
      <c r="AP52" s="453"/>
      <c r="AQ52" s="450"/>
      <c r="AS52" s="449"/>
      <c r="AT52" s="452"/>
      <c r="AU52" s="265"/>
      <c r="AV52" s="266"/>
      <c r="AW52" s="269"/>
      <c r="AX52" s="265"/>
      <c r="AY52" s="266"/>
      <c r="AZ52" s="269"/>
      <c r="BA52" s="265"/>
      <c r="BB52" s="266"/>
      <c r="BC52" s="453"/>
      <c r="BD52" s="450"/>
      <c r="BF52" s="449"/>
      <c r="BG52" s="452"/>
      <c r="BH52" s="265"/>
      <c r="BI52" s="266"/>
      <c r="BJ52" s="269"/>
      <c r="BK52" s="265"/>
      <c r="BL52" s="266"/>
      <c r="BM52" s="269"/>
      <c r="BN52" s="265"/>
      <c r="BO52" s="266"/>
      <c r="BP52" s="453"/>
      <c r="BQ52" s="450"/>
    </row>
    <row r="53" spans="1:69" ht="56.85" hidden="1" customHeight="1" x14ac:dyDescent="0.25">
      <c r="A53" t="s">
        <v>32</v>
      </c>
      <c r="F53" s="449"/>
      <c r="G53" s="452"/>
      <c r="H53" s="267"/>
      <c r="I53" s="268"/>
      <c r="J53" s="269"/>
      <c r="K53" s="267"/>
      <c r="L53" s="268"/>
      <c r="M53" s="269"/>
      <c r="N53" s="267"/>
      <c r="O53" s="268"/>
      <c r="P53" s="453"/>
      <c r="Q53" s="450"/>
      <c r="S53" s="449"/>
      <c r="T53" s="452"/>
      <c r="U53" s="267"/>
      <c r="V53" s="268"/>
      <c r="W53" s="269"/>
      <c r="X53" s="267"/>
      <c r="Y53" s="268"/>
      <c r="Z53" s="269"/>
      <c r="AA53" s="267"/>
      <c r="AB53" s="268"/>
      <c r="AC53" s="453"/>
      <c r="AD53" s="450"/>
      <c r="AF53" s="449"/>
      <c r="AG53" s="452"/>
      <c r="AH53" s="267"/>
      <c r="AI53" s="268"/>
      <c r="AJ53" s="269"/>
      <c r="AK53" s="267"/>
      <c r="AL53" s="268"/>
      <c r="AM53" s="269"/>
      <c r="AN53" s="267"/>
      <c r="AO53" s="268"/>
      <c r="AP53" s="453"/>
      <c r="AQ53" s="450"/>
      <c r="AS53" s="449"/>
      <c r="AT53" s="452"/>
      <c r="AU53" s="267"/>
      <c r="AV53" s="268"/>
      <c r="AW53" s="269"/>
      <c r="AX53" s="267"/>
      <c r="AY53" s="268"/>
      <c r="AZ53" s="269"/>
      <c r="BA53" s="267"/>
      <c r="BB53" s="268"/>
      <c r="BC53" s="453"/>
      <c r="BD53" s="450"/>
      <c r="BF53" s="449"/>
      <c r="BG53" s="452"/>
      <c r="BH53" s="267"/>
      <c r="BI53" s="268"/>
      <c r="BJ53" s="269"/>
      <c r="BK53" s="267"/>
      <c r="BL53" s="268"/>
      <c r="BM53" s="269"/>
      <c r="BN53" s="267"/>
      <c r="BO53" s="268"/>
      <c r="BP53" s="453"/>
      <c r="BQ53" s="450"/>
    </row>
    <row r="54" spans="1:69" hidden="1" x14ac:dyDescent="0.25">
      <c r="A54" t="s">
        <v>33</v>
      </c>
      <c r="F54" s="449"/>
      <c r="G54" s="452"/>
      <c r="H54" s="269"/>
      <c r="I54" s="269"/>
      <c r="J54" s="269"/>
      <c r="K54" s="269"/>
      <c r="L54" s="269"/>
      <c r="M54" s="269"/>
      <c r="N54" s="269"/>
      <c r="O54" s="269"/>
      <c r="P54" s="453"/>
      <c r="Q54" s="450"/>
      <c r="S54" s="449"/>
      <c r="T54" s="452"/>
      <c r="U54" s="269"/>
      <c r="V54" s="269"/>
      <c r="W54" s="269"/>
      <c r="X54" s="269"/>
      <c r="Y54" s="269"/>
      <c r="Z54" s="269"/>
      <c r="AA54" s="269"/>
      <c r="AB54" s="269"/>
      <c r="AC54" s="453"/>
      <c r="AD54" s="450"/>
      <c r="AF54" s="449"/>
      <c r="AG54" s="452"/>
      <c r="AH54" s="269"/>
      <c r="AI54" s="269"/>
      <c r="AJ54" s="269"/>
      <c r="AK54" s="269"/>
      <c r="AL54" s="269"/>
      <c r="AM54" s="269"/>
      <c r="AN54" s="269"/>
      <c r="AO54" s="269"/>
      <c r="AP54" s="453"/>
      <c r="AQ54" s="450"/>
      <c r="AS54" s="449"/>
      <c r="AT54" s="452"/>
      <c r="AU54" s="269"/>
      <c r="AV54" s="269"/>
      <c r="AW54" s="269"/>
      <c r="AX54" s="269"/>
      <c r="AY54" s="269"/>
      <c r="AZ54" s="269"/>
      <c r="BA54" s="269"/>
      <c r="BB54" s="269"/>
      <c r="BC54" s="453"/>
      <c r="BD54" s="450"/>
      <c r="BF54" s="449"/>
      <c r="BG54" s="452"/>
      <c r="BH54" s="269"/>
      <c r="BI54" s="269"/>
      <c r="BJ54" s="269"/>
      <c r="BK54" s="269"/>
      <c r="BL54" s="269"/>
      <c r="BM54" s="269"/>
      <c r="BN54" s="269"/>
      <c r="BO54" s="269"/>
      <c r="BP54" s="453"/>
      <c r="BQ54" s="450"/>
    </row>
    <row r="55" spans="1:69" ht="56.85" hidden="1" customHeight="1" x14ac:dyDescent="0.25">
      <c r="A55" t="s">
        <v>34</v>
      </c>
      <c r="F55" s="449"/>
      <c r="G55" s="452"/>
      <c r="H55" s="265"/>
      <c r="I55" s="266"/>
      <c r="J55" s="269"/>
      <c r="K55" s="265"/>
      <c r="L55" s="266"/>
      <c r="M55" s="269"/>
      <c r="N55" s="265"/>
      <c r="O55" s="266"/>
      <c r="P55" s="453"/>
      <c r="Q55" s="450"/>
      <c r="S55" s="449"/>
      <c r="T55" s="452"/>
      <c r="U55" s="265"/>
      <c r="V55" s="266"/>
      <c r="W55" s="269"/>
      <c r="X55" s="265"/>
      <c r="Y55" s="266"/>
      <c r="Z55" s="269"/>
      <c r="AA55" s="265"/>
      <c r="AB55" s="266"/>
      <c r="AC55" s="453"/>
      <c r="AD55" s="450"/>
      <c r="AF55" s="449"/>
      <c r="AG55" s="452"/>
      <c r="AH55" s="265"/>
      <c r="AI55" s="266"/>
      <c r="AJ55" s="269"/>
      <c r="AK55" s="265"/>
      <c r="AL55" s="266"/>
      <c r="AM55" s="269"/>
      <c r="AN55" s="265"/>
      <c r="AO55" s="266"/>
      <c r="AP55" s="453"/>
      <c r="AQ55" s="450"/>
      <c r="AS55" s="449"/>
      <c r="AT55" s="452"/>
      <c r="AU55" s="265"/>
      <c r="AV55" s="266"/>
      <c r="AW55" s="269"/>
      <c r="AX55" s="265"/>
      <c r="AY55" s="266"/>
      <c r="AZ55" s="269"/>
      <c r="BA55" s="265"/>
      <c r="BB55" s="266"/>
      <c r="BC55" s="453"/>
      <c r="BD55" s="450"/>
      <c r="BF55" s="449"/>
      <c r="BG55" s="452"/>
      <c r="BH55" s="265"/>
      <c r="BI55" s="266"/>
      <c r="BJ55" s="269"/>
      <c r="BK55" s="265"/>
      <c r="BL55" s="266"/>
      <c r="BM55" s="269"/>
      <c r="BN55" s="265"/>
      <c r="BO55" s="266"/>
      <c r="BP55" s="453"/>
      <c r="BQ55" s="450"/>
    </row>
    <row r="56" spans="1:69" ht="56.85" hidden="1" customHeight="1" x14ac:dyDescent="0.25">
      <c r="A56" t="s">
        <v>35</v>
      </c>
      <c r="F56" s="449"/>
      <c r="G56" s="452"/>
      <c r="H56" s="267"/>
      <c r="I56" s="268"/>
      <c r="J56" s="269"/>
      <c r="K56" s="267"/>
      <c r="L56" s="268"/>
      <c r="M56" s="269"/>
      <c r="N56" s="267"/>
      <c r="O56" s="268"/>
      <c r="P56" s="453"/>
      <c r="Q56" s="450"/>
      <c r="S56" s="449"/>
      <c r="T56" s="452"/>
      <c r="U56" s="267"/>
      <c r="V56" s="268"/>
      <c r="W56" s="269"/>
      <c r="X56" s="267"/>
      <c r="Y56" s="268"/>
      <c r="Z56" s="269"/>
      <c r="AA56" s="267"/>
      <c r="AB56" s="268"/>
      <c r="AC56" s="453"/>
      <c r="AD56" s="450"/>
      <c r="AF56" s="449"/>
      <c r="AG56" s="452"/>
      <c r="AH56" s="267"/>
      <c r="AI56" s="268"/>
      <c r="AJ56" s="269"/>
      <c r="AK56" s="267"/>
      <c r="AL56" s="268"/>
      <c r="AM56" s="269"/>
      <c r="AN56" s="267"/>
      <c r="AO56" s="268"/>
      <c r="AP56" s="453"/>
      <c r="AQ56" s="450"/>
      <c r="AS56" s="449"/>
      <c r="AT56" s="452"/>
      <c r="AU56" s="267"/>
      <c r="AV56" s="268"/>
      <c r="AW56" s="269"/>
      <c r="AX56" s="267"/>
      <c r="AY56" s="268"/>
      <c r="AZ56" s="269"/>
      <c r="BA56" s="267"/>
      <c r="BB56" s="268"/>
      <c r="BC56" s="453"/>
      <c r="BD56" s="450"/>
      <c r="BF56" s="449"/>
      <c r="BG56" s="452"/>
      <c r="BH56" s="267"/>
      <c r="BI56" s="268"/>
      <c r="BJ56" s="269"/>
      <c r="BK56" s="267"/>
      <c r="BL56" s="268"/>
      <c r="BM56" s="269"/>
      <c r="BN56" s="267"/>
      <c r="BO56" s="268"/>
      <c r="BP56" s="453"/>
      <c r="BQ56" s="450"/>
    </row>
    <row r="57" spans="1:69" hidden="1" x14ac:dyDescent="0.25">
      <c r="A57" t="s">
        <v>36</v>
      </c>
      <c r="F57" s="449"/>
      <c r="G57" s="263"/>
      <c r="H57" s="451"/>
      <c r="I57" s="451"/>
      <c r="J57" s="451"/>
      <c r="K57" s="451"/>
      <c r="L57" s="451"/>
      <c r="M57" s="451"/>
      <c r="N57" s="451"/>
      <c r="O57" s="451"/>
      <c r="P57" s="263"/>
      <c r="Q57" s="450"/>
      <c r="S57" s="449"/>
      <c r="T57" s="263"/>
      <c r="U57" s="451"/>
      <c r="V57" s="451"/>
      <c r="W57" s="451"/>
      <c r="X57" s="451"/>
      <c r="Y57" s="451"/>
      <c r="Z57" s="451"/>
      <c r="AA57" s="451"/>
      <c r="AB57" s="451"/>
      <c r="AC57" s="263"/>
      <c r="AD57" s="450"/>
      <c r="AF57" s="449"/>
      <c r="AG57" s="263"/>
      <c r="AH57" s="451"/>
      <c r="AI57" s="451"/>
      <c r="AJ57" s="451"/>
      <c r="AK57" s="451"/>
      <c r="AL57" s="451"/>
      <c r="AM57" s="451"/>
      <c r="AN57" s="451"/>
      <c r="AO57" s="451"/>
      <c r="AP57" s="263"/>
      <c r="AQ57" s="450"/>
      <c r="AS57" s="449"/>
      <c r="AT57" s="263"/>
      <c r="AU57" s="451"/>
      <c r="AV57" s="451"/>
      <c r="AW57" s="451"/>
      <c r="AX57" s="451"/>
      <c r="AY57" s="451"/>
      <c r="AZ57" s="451"/>
      <c r="BA57" s="451"/>
      <c r="BB57" s="451"/>
      <c r="BC57" s="263"/>
      <c r="BD57" s="450"/>
      <c r="BF57" s="449"/>
      <c r="BG57" s="263"/>
      <c r="BH57" s="451"/>
      <c r="BI57" s="451"/>
      <c r="BJ57" s="451"/>
      <c r="BK57" s="451"/>
      <c r="BL57" s="451"/>
      <c r="BM57" s="451"/>
      <c r="BN57" s="451"/>
      <c r="BO57" s="451"/>
      <c r="BP57" s="263"/>
      <c r="BQ57" s="450"/>
    </row>
    <row r="58" spans="1:69" hidden="1" x14ac:dyDescent="0.25">
      <c r="A58" t="s">
        <v>37</v>
      </c>
      <c r="G58" s="448" t="s">
        <v>1251</v>
      </c>
      <c r="H58" s="448"/>
      <c r="I58" s="448"/>
      <c r="J58" s="448"/>
      <c r="K58" s="448"/>
      <c r="L58" s="448"/>
      <c r="M58" s="448"/>
      <c r="N58" s="448"/>
      <c r="O58" s="448"/>
      <c r="P58" s="448"/>
      <c r="T58" s="448" t="s">
        <v>1251</v>
      </c>
      <c r="U58" s="448"/>
      <c r="V58" s="448"/>
      <c r="W58" s="448"/>
      <c r="X58" s="448"/>
      <c r="Y58" s="448"/>
      <c r="Z58" s="448"/>
      <c r="AA58" s="448"/>
      <c r="AB58" s="448"/>
      <c r="AC58" s="448"/>
      <c r="AG58" s="448" t="s">
        <v>1251</v>
      </c>
      <c r="AH58" s="448"/>
      <c r="AI58" s="448"/>
      <c r="AJ58" s="448"/>
      <c r="AK58" s="448"/>
      <c r="AL58" s="448"/>
      <c r="AM58" s="448"/>
      <c r="AN58" s="448"/>
      <c r="AO58" s="448"/>
      <c r="AP58" s="448"/>
      <c r="AT58" s="448" t="s">
        <v>1251</v>
      </c>
      <c r="AU58" s="448"/>
      <c r="AV58" s="448"/>
      <c r="AW58" s="448"/>
      <c r="AX58" s="448"/>
      <c r="AY58" s="448"/>
      <c r="AZ58" s="448"/>
      <c r="BA58" s="448"/>
      <c r="BB58" s="448"/>
      <c r="BC58" s="448"/>
      <c r="BG58" s="448" t="s">
        <v>1251</v>
      </c>
      <c r="BH58" s="448"/>
      <c r="BI58" s="448"/>
      <c r="BJ58" s="448"/>
      <c r="BK58" s="448"/>
      <c r="BL58" s="448"/>
      <c r="BM58" s="448"/>
      <c r="BN58" s="448"/>
      <c r="BO58" s="448"/>
      <c r="BP58" s="448"/>
    </row>
    <row r="59" spans="1:69" hidden="1" x14ac:dyDescent="0.25">
      <c r="A59" t="s">
        <v>38</v>
      </c>
    </row>
    <row r="60" spans="1:69" hidden="1" x14ac:dyDescent="0.25">
      <c r="A60" t="s">
        <v>39</v>
      </c>
      <c r="G60" s="448" t="s">
        <v>1251</v>
      </c>
      <c r="H60" s="448"/>
      <c r="I60" s="448"/>
      <c r="J60" s="448"/>
      <c r="K60" s="448"/>
      <c r="L60" s="448"/>
      <c r="M60" s="448"/>
      <c r="N60" s="448"/>
      <c r="O60" s="448"/>
      <c r="P60" s="448"/>
      <c r="T60" s="448" t="s">
        <v>1251</v>
      </c>
      <c r="U60" s="448"/>
      <c r="V60" s="448"/>
      <c r="W60" s="448"/>
      <c r="X60" s="448"/>
      <c r="Y60" s="448"/>
      <c r="Z60" s="448"/>
      <c r="AA60" s="448"/>
      <c r="AB60" s="448"/>
      <c r="AC60" s="448"/>
      <c r="AG60" s="448" t="s">
        <v>1251</v>
      </c>
      <c r="AH60" s="448"/>
      <c r="AI60" s="448"/>
      <c r="AJ60" s="448"/>
      <c r="AK60" s="448"/>
      <c r="AL60" s="448"/>
      <c r="AM60" s="448"/>
      <c r="AN60" s="448"/>
      <c r="AO60" s="448"/>
      <c r="AP60" s="448"/>
      <c r="AT60" s="448" t="s">
        <v>1251</v>
      </c>
      <c r="AU60" s="448"/>
      <c r="AV60" s="448"/>
      <c r="AW60" s="448"/>
      <c r="AX60" s="448"/>
      <c r="AY60" s="448"/>
      <c r="AZ60" s="448"/>
      <c r="BA60" s="448"/>
      <c r="BB60" s="448"/>
      <c r="BC60" s="448"/>
      <c r="BG60" s="448" t="s">
        <v>1251</v>
      </c>
      <c r="BH60" s="448"/>
      <c r="BI60" s="448"/>
      <c r="BJ60" s="448"/>
      <c r="BK60" s="448"/>
      <c r="BL60" s="448"/>
      <c r="BM60" s="448"/>
      <c r="BN60" s="448"/>
      <c r="BO60" s="448"/>
      <c r="BP60" s="448"/>
    </row>
    <row r="61" spans="1:69" hidden="1" x14ac:dyDescent="0.25">
      <c r="A61" t="s">
        <v>40</v>
      </c>
      <c r="F61" s="449" t="s">
        <v>1251</v>
      </c>
      <c r="G61" s="263"/>
      <c r="H61" s="451"/>
      <c r="I61" s="451"/>
      <c r="J61" s="451"/>
      <c r="K61" s="451"/>
      <c r="L61" s="451"/>
      <c r="M61" s="451"/>
      <c r="N61" s="451"/>
      <c r="O61" s="451"/>
      <c r="P61" s="263"/>
      <c r="Q61" s="450" t="s">
        <v>1251</v>
      </c>
      <c r="S61" s="449" t="s">
        <v>1251</v>
      </c>
      <c r="T61" s="263"/>
      <c r="U61" s="451"/>
      <c r="V61" s="451"/>
      <c r="W61" s="451"/>
      <c r="X61" s="451"/>
      <c r="Y61" s="451"/>
      <c r="Z61" s="451"/>
      <c r="AA61" s="451"/>
      <c r="AB61" s="451"/>
      <c r="AC61" s="263"/>
      <c r="AD61" s="450" t="s">
        <v>1251</v>
      </c>
      <c r="AF61" s="449" t="s">
        <v>1251</v>
      </c>
      <c r="AG61" s="263"/>
      <c r="AH61" s="451"/>
      <c r="AI61" s="451"/>
      <c r="AJ61" s="451"/>
      <c r="AK61" s="451"/>
      <c r="AL61" s="451"/>
      <c r="AM61" s="451"/>
      <c r="AN61" s="451"/>
      <c r="AO61" s="451"/>
      <c r="AP61" s="263"/>
      <c r="AQ61" s="450" t="s">
        <v>1251</v>
      </c>
      <c r="AS61" s="449" t="s">
        <v>1251</v>
      </c>
      <c r="AT61" s="263"/>
      <c r="AU61" s="451"/>
      <c r="AV61" s="451"/>
      <c r="AW61" s="451"/>
      <c r="AX61" s="451"/>
      <c r="AY61" s="451"/>
      <c r="AZ61" s="451"/>
      <c r="BA61" s="451"/>
      <c r="BB61" s="451"/>
      <c r="BC61" s="263"/>
      <c r="BD61" s="450" t="s">
        <v>1251</v>
      </c>
      <c r="BF61" s="449" t="s">
        <v>1251</v>
      </c>
      <c r="BG61" s="263"/>
      <c r="BH61" s="451"/>
      <c r="BI61" s="451"/>
      <c r="BJ61" s="451"/>
      <c r="BK61" s="451"/>
      <c r="BL61" s="451"/>
      <c r="BM61" s="451"/>
      <c r="BN61" s="451"/>
      <c r="BO61" s="451"/>
      <c r="BP61" s="263"/>
      <c r="BQ61" s="450" t="s">
        <v>1251</v>
      </c>
    </row>
    <row r="62" spans="1:69" ht="56.85" hidden="1" customHeight="1" x14ac:dyDescent="0.25">
      <c r="A62" t="s">
        <v>41</v>
      </c>
      <c r="F62" s="449"/>
      <c r="G62" s="452"/>
      <c r="H62" s="265"/>
      <c r="I62" s="266"/>
      <c r="J62" s="269"/>
      <c r="K62" s="265"/>
      <c r="L62" s="266"/>
      <c r="M62" s="269"/>
      <c r="N62" s="265"/>
      <c r="O62" s="266"/>
      <c r="P62" s="453"/>
      <c r="Q62" s="450"/>
      <c r="S62" s="449"/>
      <c r="T62" s="452"/>
      <c r="U62" s="265"/>
      <c r="V62" s="266"/>
      <c r="W62" s="269"/>
      <c r="X62" s="265"/>
      <c r="Y62" s="266"/>
      <c r="Z62" s="269"/>
      <c r="AA62" s="265"/>
      <c r="AB62" s="266"/>
      <c r="AC62" s="453"/>
      <c r="AD62" s="450"/>
      <c r="AF62" s="449"/>
      <c r="AG62" s="452"/>
      <c r="AH62" s="265"/>
      <c r="AI62" s="266"/>
      <c r="AJ62" s="269"/>
      <c r="AK62" s="265"/>
      <c r="AL62" s="266"/>
      <c r="AM62" s="269"/>
      <c r="AN62" s="265"/>
      <c r="AO62" s="266"/>
      <c r="AP62" s="453"/>
      <c r="AQ62" s="450"/>
      <c r="AS62" s="449"/>
      <c r="AT62" s="452"/>
      <c r="AU62" s="265"/>
      <c r="AV62" s="266"/>
      <c r="AW62" s="269"/>
      <c r="AX62" s="265"/>
      <c r="AY62" s="266"/>
      <c r="AZ62" s="269"/>
      <c r="BA62" s="265"/>
      <c r="BB62" s="266"/>
      <c r="BC62" s="453"/>
      <c r="BD62" s="450"/>
      <c r="BF62" s="449"/>
      <c r="BG62" s="452"/>
      <c r="BH62" s="265"/>
      <c r="BI62" s="266"/>
      <c r="BJ62" s="269"/>
      <c r="BK62" s="265"/>
      <c r="BL62" s="266"/>
      <c r="BM62" s="269"/>
      <c r="BN62" s="265"/>
      <c r="BO62" s="266"/>
      <c r="BP62" s="453"/>
      <c r="BQ62" s="450"/>
    </row>
    <row r="63" spans="1:69" ht="56.85" hidden="1" customHeight="1" x14ac:dyDescent="0.25">
      <c r="A63" t="s">
        <v>42</v>
      </c>
      <c r="F63" s="449"/>
      <c r="G63" s="452"/>
      <c r="H63" s="267"/>
      <c r="I63" s="268"/>
      <c r="J63" s="269"/>
      <c r="K63" s="267"/>
      <c r="L63" s="268"/>
      <c r="M63" s="269"/>
      <c r="N63" s="267"/>
      <c r="O63" s="268"/>
      <c r="P63" s="453"/>
      <c r="Q63" s="450"/>
      <c r="S63" s="449"/>
      <c r="T63" s="452"/>
      <c r="U63" s="267"/>
      <c r="V63" s="268"/>
      <c r="W63" s="269"/>
      <c r="X63" s="267"/>
      <c r="Y63" s="268"/>
      <c r="Z63" s="269"/>
      <c r="AA63" s="267"/>
      <c r="AB63" s="268"/>
      <c r="AC63" s="453"/>
      <c r="AD63" s="450"/>
      <c r="AF63" s="449"/>
      <c r="AG63" s="452"/>
      <c r="AH63" s="267"/>
      <c r="AI63" s="268"/>
      <c r="AJ63" s="269"/>
      <c r="AK63" s="267"/>
      <c r="AL63" s="268"/>
      <c r="AM63" s="269"/>
      <c r="AN63" s="267"/>
      <c r="AO63" s="268"/>
      <c r="AP63" s="453"/>
      <c r="AQ63" s="450"/>
      <c r="AS63" s="449"/>
      <c r="AT63" s="452"/>
      <c r="AU63" s="267"/>
      <c r="AV63" s="268"/>
      <c r="AW63" s="269"/>
      <c r="AX63" s="267"/>
      <c r="AY63" s="268"/>
      <c r="AZ63" s="269"/>
      <c r="BA63" s="267"/>
      <c r="BB63" s="268"/>
      <c r="BC63" s="453"/>
      <c r="BD63" s="450"/>
      <c r="BF63" s="449"/>
      <c r="BG63" s="452"/>
      <c r="BH63" s="267"/>
      <c r="BI63" s="268"/>
      <c r="BJ63" s="269"/>
      <c r="BK63" s="267"/>
      <c r="BL63" s="268"/>
      <c r="BM63" s="269"/>
      <c r="BN63" s="267"/>
      <c r="BO63" s="268"/>
      <c r="BP63" s="453"/>
      <c r="BQ63" s="450"/>
    </row>
    <row r="64" spans="1:69" hidden="1" x14ac:dyDescent="0.25">
      <c r="A64" t="s">
        <v>377</v>
      </c>
      <c r="F64" s="449"/>
      <c r="G64" s="452"/>
      <c r="H64" s="269"/>
      <c r="I64" s="269"/>
      <c r="J64" s="269"/>
      <c r="K64" s="269"/>
      <c r="L64" s="269"/>
      <c r="M64" s="269"/>
      <c r="N64" s="269"/>
      <c r="O64" s="269"/>
      <c r="P64" s="453"/>
      <c r="Q64" s="450"/>
      <c r="S64" s="449"/>
      <c r="T64" s="452"/>
      <c r="U64" s="269"/>
      <c r="V64" s="269"/>
      <c r="W64" s="269"/>
      <c r="X64" s="269"/>
      <c r="Y64" s="269"/>
      <c r="Z64" s="269"/>
      <c r="AA64" s="269"/>
      <c r="AB64" s="269"/>
      <c r="AC64" s="453"/>
      <c r="AD64" s="450"/>
      <c r="AF64" s="449"/>
      <c r="AG64" s="452"/>
      <c r="AH64" s="269"/>
      <c r="AI64" s="269"/>
      <c r="AJ64" s="269"/>
      <c r="AK64" s="269"/>
      <c r="AL64" s="269"/>
      <c r="AM64" s="269"/>
      <c r="AN64" s="269"/>
      <c r="AO64" s="269"/>
      <c r="AP64" s="453"/>
      <c r="AQ64" s="450"/>
      <c r="AS64" s="449"/>
      <c r="AT64" s="452"/>
      <c r="AU64" s="269"/>
      <c r="AV64" s="269"/>
      <c r="AW64" s="269"/>
      <c r="AX64" s="269"/>
      <c r="AY64" s="269"/>
      <c r="AZ64" s="269"/>
      <c r="BA64" s="269"/>
      <c r="BB64" s="269"/>
      <c r="BC64" s="453"/>
      <c r="BD64" s="450"/>
      <c r="BF64" s="449"/>
      <c r="BG64" s="452"/>
      <c r="BH64" s="269"/>
      <c r="BI64" s="269"/>
      <c r="BJ64" s="269"/>
      <c r="BK64" s="269"/>
      <c r="BL64" s="269"/>
      <c r="BM64" s="269"/>
      <c r="BN64" s="269"/>
      <c r="BO64" s="269"/>
      <c r="BP64" s="453"/>
      <c r="BQ64" s="450"/>
    </row>
    <row r="65" spans="1:69" ht="56.85" hidden="1" customHeight="1" x14ac:dyDescent="0.25">
      <c r="A65" t="s">
        <v>378</v>
      </c>
      <c r="F65" s="449"/>
      <c r="G65" s="452"/>
      <c r="H65" s="265"/>
      <c r="I65" s="266"/>
      <c r="J65" s="269"/>
      <c r="K65" s="265"/>
      <c r="L65" s="266"/>
      <c r="M65" s="269"/>
      <c r="N65" s="265"/>
      <c r="O65" s="266"/>
      <c r="P65" s="453"/>
      <c r="Q65" s="450"/>
      <c r="S65" s="449"/>
      <c r="T65" s="452"/>
      <c r="U65" s="265"/>
      <c r="V65" s="266"/>
      <c r="W65" s="269"/>
      <c r="X65" s="265"/>
      <c r="Y65" s="266"/>
      <c r="Z65" s="269"/>
      <c r="AA65" s="265"/>
      <c r="AB65" s="266"/>
      <c r="AC65" s="453"/>
      <c r="AD65" s="450"/>
      <c r="AF65" s="449"/>
      <c r="AG65" s="452"/>
      <c r="AH65" s="265"/>
      <c r="AI65" s="266"/>
      <c r="AJ65" s="269"/>
      <c r="AK65" s="265"/>
      <c r="AL65" s="266"/>
      <c r="AM65" s="269"/>
      <c r="AN65" s="265"/>
      <c r="AO65" s="266"/>
      <c r="AP65" s="453"/>
      <c r="AQ65" s="450"/>
      <c r="AS65" s="449"/>
      <c r="AT65" s="452"/>
      <c r="AU65" s="265"/>
      <c r="AV65" s="266"/>
      <c r="AW65" s="269"/>
      <c r="AX65" s="265"/>
      <c r="AY65" s="266"/>
      <c r="AZ65" s="269"/>
      <c r="BA65" s="265"/>
      <c r="BB65" s="266"/>
      <c r="BC65" s="453"/>
      <c r="BD65" s="450"/>
      <c r="BF65" s="449"/>
      <c r="BG65" s="452"/>
      <c r="BH65" s="265"/>
      <c r="BI65" s="266"/>
      <c r="BJ65" s="269"/>
      <c r="BK65" s="265"/>
      <c r="BL65" s="266"/>
      <c r="BM65" s="269"/>
      <c r="BN65" s="265"/>
      <c r="BO65" s="266"/>
      <c r="BP65" s="453"/>
      <c r="BQ65" s="450"/>
    </row>
    <row r="66" spans="1:69" ht="56.85" hidden="1" customHeight="1" x14ac:dyDescent="0.25">
      <c r="A66" s="5"/>
      <c r="F66" s="449"/>
      <c r="G66" s="452"/>
      <c r="H66" s="267"/>
      <c r="I66" s="268"/>
      <c r="J66" s="269"/>
      <c r="K66" s="267"/>
      <c r="L66" s="268"/>
      <c r="M66" s="269"/>
      <c r="N66" s="267"/>
      <c r="O66" s="268"/>
      <c r="P66" s="453"/>
      <c r="Q66" s="450"/>
      <c r="S66" s="449"/>
      <c r="T66" s="452"/>
      <c r="U66" s="267"/>
      <c r="V66" s="268"/>
      <c r="W66" s="269"/>
      <c r="X66" s="267"/>
      <c r="Y66" s="268"/>
      <c r="Z66" s="269"/>
      <c r="AA66" s="267"/>
      <c r="AB66" s="268"/>
      <c r="AC66" s="453"/>
      <c r="AD66" s="450"/>
      <c r="AF66" s="449"/>
      <c r="AG66" s="452"/>
      <c r="AH66" s="267"/>
      <c r="AI66" s="268"/>
      <c r="AJ66" s="269"/>
      <c r="AK66" s="267"/>
      <c r="AL66" s="268"/>
      <c r="AM66" s="269"/>
      <c r="AN66" s="267"/>
      <c r="AO66" s="268"/>
      <c r="AP66" s="453"/>
      <c r="AQ66" s="450"/>
      <c r="AS66" s="449"/>
      <c r="AT66" s="452"/>
      <c r="AU66" s="267"/>
      <c r="AV66" s="268"/>
      <c r="AW66" s="269"/>
      <c r="AX66" s="267"/>
      <c r="AY66" s="268"/>
      <c r="AZ66" s="269"/>
      <c r="BA66" s="267"/>
      <c r="BB66" s="268"/>
      <c r="BC66" s="453"/>
      <c r="BD66" s="450"/>
      <c r="BF66" s="449"/>
      <c r="BG66" s="452"/>
      <c r="BH66" s="267"/>
      <c r="BI66" s="268"/>
      <c r="BJ66" s="269"/>
      <c r="BK66" s="267"/>
      <c r="BL66" s="268"/>
      <c r="BM66" s="269"/>
      <c r="BN66" s="267"/>
      <c r="BO66" s="268"/>
      <c r="BP66" s="453"/>
      <c r="BQ66" s="450"/>
    </row>
    <row r="67" spans="1:69" hidden="1" x14ac:dyDescent="0.25">
      <c r="A67" s="5"/>
      <c r="F67" s="449"/>
      <c r="G67" s="452"/>
      <c r="H67" s="269"/>
      <c r="I67" s="269"/>
      <c r="J67" s="269"/>
      <c r="K67" s="269"/>
      <c r="L67" s="269"/>
      <c r="M67" s="269"/>
      <c r="N67" s="269"/>
      <c r="O67" s="269"/>
      <c r="P67" s="453"/>
      <c r="Q67" s="450"/>
      <c r="S67" s="449"/>
      <c r="T67" s="452"/>
      <c r="U67" s="269"/>
      <c r="V67" s="269"/>
      <c r="W67" s="269"/>
      <c r="X67" s="269"/>
      <c r="Y67" s="269"/>
      <c r="Z67" s="269"/>
      <c r="AA67" s="269"/>
      <c r="AB67" s="269"/>
      <c r="AC67" s="453"/>
      <c r="AD67" s="450"/>
      <c r="AF67" s="449"/>
      <c r="AG67" s="452"/>
      <c r="AH67" s="269"/>
      <c r="AI67" s="269"/>
      <c r="AJ67" s="269"/>
      <c r="AK67" s="269"/>
      <c r="AL67" s="269"/>
      <c r="AM67" s="269"/>
      <c r="AN67" s="269"/>
      <c r="AO67" s="269"/>
      <c r="AP67" s="453"/>
      <c r="AQ67" s="450"/>
      <c r="AS67" s="449"/>
      <c r="AT67" s="452"/>
      <c r="AU67" s="269"/>
      <c r="AV67" s="269"/>
      <c r="AW67" s="269"/>
      <c r="AX67" s="269"/>
      <c r="AY67" s="269"/>
      <c r="AZ67" s="269"/>
      <c r="BA67" s="269"/>
      <c r="BB67" s="269"/>
      <c r="BC67" s="453"/>
      <c r="BD67" s="450"/>
      <c r="BF67" s="449"/>
      <c r="BG67" s="452"/>
      <c r="BH67" s="269"/>
      <c r="BI67" s="269"/>
      <c r="BJ67" s="269"/>
      <c r="BK67" s="269"/>
      <c r="BL67" s="269"/>
      <c r="BM67" s="269"/>
      <c r="BN67" s="269"/>
      <c r="BO67" s="269"/>
      <c r="BP67" s="453"/>
      <c r="BQ67" s="450"/>
    </row>
    <row r="68" spans="1:69" ht="56.85" hidden="1" customHeight="1" x14ac:dyDescent="0.25">
      <c r="A68" s="5"/>
      <c r="F68" s="449"/>
      <c r="G68" s="452"/>
      <c r="H68" s="265"/>
      <c r="I68" s="266"/>
      <c r="J68" s="269"/>
      <c r="K68" s="265"/>
      <c r="L68" s="266"/>
      <c r="M68" s="269"/>
      <c r="N68" s="265"/>
      <c r="O68" s="266"/>
      <c r="P68" s="453"/>
      <c r="Q68" s="450"/>
      <c r="S68" s="449"/>
      <c r="T68" s="452"/>
      <c r="U68" s="265"/>
      <c r="V68" s="266"/>
      <c r="W68" s="269"/>
      <c r="X68" s="265"/>
      <c r="Y68" s="266"/>
      <c r="Z68" s="269"/>
      <c r="AA68" s="265"/>
      <c r="AB68" s="266"/>
      <c r="AC68" s="453"/>
      <c r="AD68" s="450"/>
      <c r="AF68" s="449"/>
      <c r="AG68" s="452"/>
      <c r="AH68" s="265"/>
      <c r="AI68" s="266"/>
      <c r="AJ68" s="269"/>
      <c r="AK68" s="265"/>
      <c r="AL68" s="266"/>
      <c r="AM68" s="269"/>
      <c r="AN68" s="265"/>
      <c r="AO68" s="266"/>
      <c r="AP68" s="453"/>
      <c r="AQ68" s="450"/>
      <c r="AS68" s="449"/>
      <c r="AT68" s="452"/>
      <c r="AU68" s="265"/>
      <c r="AV68" s="266"/>
      <c r="AW68" s="269"/>
      <c r="AX68" s="265"/>
      <c r="AY68" s="266"/>
      <c r="AZ68" s="269"/>
      <c r="BA68" s="265"/>
      <c r="BB68" s="266"/>
      <c r="BC68" s="453"/>
      <c r="BD68" s="450"/>
      <c r="BF68" s="449"/>
      <c r="BG68" s="452"/>
      <c r="BH68" s="265"/>
      <c r="BI68" s="266"/>
      <c r="BJ68" s="269"/>
      <c r="BK68" s="265"/>
      <c r="BL68" s="266"/>
      <c r="BM68" s="269"/>
      <c r="BN68" s="265"/>
      <c r="BO68" s="266"/>
      <c r="BP68" s="453"/>
      <c r="BQ68" s="450"/>
    </row>
    <row r="69" spans="1:69" ht="56.85" hidden="1" customHeight="1" x14ac:dyDescent="0.25">
      <c r="A69" s="5"/>
      <c r="F69" s="449"/>
      <c r="G69" s="452"/>
      <c r="H69" s="267"/>
      <c r="I69" s="268"/>
      <c r="J69" s="269"/>
      <c r="K69" s="267"/>
      <c r="L69" s="268"/>
      <c r="M69" s="269"/>
      <c r="N69" s="267"/>
      <c r="O69" s="268"/>
      <c r="P69" s="453"/>
      <c r="Q69" s="450"/>
      <c r="S69" s="449"/>
      <c r="T69" s="452"/>
      <c r="U69" s="267"/>
      <c r="V69" s="268"/>
      <c r="W69" s="269"/>
      <c r="X69" s="267"/>
      <c r="Y69" s="268"/>
      <c r="Z69" s="269"/>
      <c r="AA69" s="267"/>
      <c r="AB69" s="268"/>
      <c r="AC69" s="453"/>
      <c r="AD69" s="450"/>
      <c r="AF69" s="449"/>
      <c r="AG69" s="452"/>
      <c r="AH69" s="267"/>
      <c r="AI69" s="268"/>
      <c r="AJ69" s="269"/>
      <c r="AK69" s="267"/>
      <c r="AL69" s="268"/>
      <c r="AM69" s="269"/>
      <c r="AN69" s="267"/>
      <c r="AO69" s="268"/>
      <c r="AP69" s="453"/>
      <c r="AQ69" s="450"/>
      <c r="AS69" s="449"/>
      <c r="AT69" s="452"/>
      <c r="AU69" s="267"/>
      <c r="AV69" s="268"/>
      <c r="AW69" s="269"/>
      <c r="AX69" s="267"/>
      <c r="AY69" s="268"/>
      <c r="AZ69" s="269"/>
      <c r="BA69" s="267"/>
      <c r="BB69" s="268"/>
      <c r="BC69" s="453"/>
      <c r="BD69" s="450"/>
      <c r="BF69" s="449"/>
      <c r="BG69" s="452"/>
      <c r="BH69" s="267"/>
      <c r="BI69" s="268"/>
      <c r="BJ69" s="269"/>
      <c r="BK69" s="267"/>
      <c r="BL69" s="268"/>
      <c r="BM69" s="269"/>
      <c r="BN69" s="267"/>
      <c r="BO69" s="268"/>
      <c r="BP69" s="453"/>
      <c r="BQ69" s="450"/>
    </row>
    <row r="70" spans="1:69" hidden="1" x14ac:dyDescent="0.25">
      <c r="A70" s="5"/>
      <c r="F70" s="449"/>
      <c r="G70" s="263"/>
      <c r="H70" s="451"/>
      <c r="I70" s="451"/>
      <c r="J70" s="451"/>
      <c r="K70" s="451"/>
      <c r="L70" s="451"/>
      <c r="M70" s="451"/>
      <c r="N70" s="451"/>
      <c r="O70" s="451"/>
      <c r="P70" s="263"/>
      <c r="Q70" s="450"/>
      <c r="S70" s="449"/>
      <c r="T70" s="263"/>
      <c r="U70" s="451"/>
      <c r="V70" s="451"/>
      <c r="W70" s="451"/>
      <c r="X70" s="451"/>
      <c r="Y70" s="451"/>
      <c r="Z70" s="451"/>
      <c r="AA70" s="451"/>
      <c r="AB70" s="451"/>
      <c r="AC70" s="263"/>
      <c r="AD70" s="450"/>
      <c r="AF70" s="449"/>
      <c r="AG70" s="263"/>
      <c r="AH70" s="451"/>
      <c r="AI70" s="451"/>
      <c r="AJ70" s="451"/>
      <c r="AK70" s="451"/>
      <c r="AL70" s="451"/>
      <c r="AM70" s="451"/>
      <c r="AN70" s="451"/>
      <c r="AO70" s="451"/>
      <c r="AP70" s="263"/>
      <c r="AQ70" s="450"/>
      <c r="AS70" s="449"/>
      <c r="AT70" s="263"/>
      <c r="AU70" s="451"/>
      <c r="AV70" s="451"/>
      <c r="AW70" s="451"/>
      <c r="AX70" s="451"/>
      <c r="AY70" s="451"/>
      <c r="AZ70" s="451"/>
      <c r="BA70" s="451"/>
      <c r="BB70" s="451"/>
      <c r="BC70" s="263"/>
      <c r="BD70" s="450"/>
      <c r="BF70" s="449"/>
      <c r="BG70" s="263"/>
      <c r="BH70" s="451"/>
      <c r="BI70" s="451"/>
      <c r="BJ70" s="451"/>
      <c r="BK70" s="451"/>
      <c r="BL70" s="451"/>
      <c r="BM70" s="451"/>
      <c r="BN70" s="451"/>
      <c r="BO70" s="451"/>
      <c r="BP70" s="263"/>
      <c r="BQ70" s="450"/>
    </row>
    <row r="71" spans="1:69" hidden="1" x14ac:dyDescent="0.25">
      <c r="A71" s="5"/>
      <c r="G71" s="448" t="s">
        <v>1251</v>
      </c>
      <c r="H71" s="448"/>
      <c r="I71" s="448"/>
      <c r="J71" s="448"/>
      <c r="K71" s="448"/>
      <c r="L71" s="448"/>
      <c r="M71" s="448"/>
      <c r="N71" s="448"/>
      <c r="O71" s="448"/>
      <c r="P71" s="448"/>
      <c r="T71" s="448" t="s">
        <v>1251</v>
      </c>
      <c r="U71" s="448"/>
      <c r="V71" s="448"/>
      <c r="W71" s="448"/>
      <c r="X71" s="448"/>
      <c r="Y71" s="448"/>
      <c r="Z71" s="448"/>
      <c r="AA71" s="448"/>
      <c r="AB71" s="448"/>
      <c r="AC71" s="448"/>
      <c r="AG71" s="448" t="s">
        <v>1251</v>
      </c>
      <c r="AH71" s="448"/>
      <c r="AI71" s="448"/>
      <c r="AJ71" s="448"/>
      <c r="AK71" s="448"/>
      <c r="AL71" s="448"/>
      <c r="AM71" s="448"/>
      <c r="AN71" s="448"/>
      <c r="AO71" s="448"/>
      <c r="AP71" s="448"/>
      <c r="AT71" s="448" t="s">
        <v>1251</v>
      </c>
      <c r="AU71" s="448"/>
      <c r="AV71" s="448"/>
      <c r="AW71" s="448"/>
      <c r="AX71" s="448"/>
      <c r="AY71" s="448"/>
      <c r="AZ71" s="448"/>
      <c r="BA71" s="448"/>
      <c r="BB71" s="448"/>
      <c r="BC71" s="448"/>
      <c r="BG71" s="448" t="s">
        <v>1251</v>
      </c>
      <c r="BH71" s="448"/>
      <c r="BI71" s="448"/>
      <c r="BJ71" s="448"/>
      <c r="BK71" s="448"/>
      <c r="BL71" s="448"/>
      <c r="BM71" s="448"/>
      <c r="BN71" s="448"/>
      <c r="BO71" s="448"/>
      <c r="BP71" s="448"/>
    </row>
  </sheetData>
  <sheetProtection sheet="1" objects="1" scenarios="1" selectLockedCells="1"/>
  <mergeCells count="200">
    <mergeCell ref="G8:P8"/>
    <mergeCell ref="T8:AC8"/>
    <mergeCell ref="AG8:AP8"/>
    <mergeCell ref="AT8:BC8"/>
    <mergeCell ref="BG8:BP8"/>
    <mergeCell ref="F9:F18"/>
    <mergeCell ref="H9:O9"/>
    <mergeCell ref="Q9:Q18"/>
    <mergeCell ref="S9:S18"/>
    <mergeCell ref="U9:AB9"/>
    <mergeCell ref="BQ9:BQ18"/>
    <mergeCell ref="G10:G17"/>
    <mergeCell ref="P10:P17"/>
    <mergeCell ref="T10:T17"/>
    <mergeCell ref="AC10:AC17"/>
    <mergeCell ref="AG10:AG17"/>
    <mergeCell ref="AP10:AP17"/>
    <mergeCell ref="AD9:AD18"/>
    <mergeCell ref="AF9:AF18"/>
    <mergeCell ref="AH9:AO9"/>
    <mergeCell ref="AQ9:AQ18"/>
    <mergeCell ref="AS9:AS18"/>
    <mergeCell ref="AU9:BB9"/>
    <mergeCell ref="AT10:AT17"/>
    <mergeCell ref="AT19:BC19"/>
    <mergeCell ref="BG19:BP19"/>
    <mergeCell ref="G21:P21"/>
    <mergeCell ref="T21:AC21"/>
    <mergeCell ref="AG21:AP21"/>
    <mergeCell ref="AT21:BC21"/>
    <mergeCell ref="BG21:BP21"/>
    <mergeCell ref="BC10:BC17"/>
    <mergeCell ref="BG10:BG17"/>
    <mergeCell ref="BP10:BP17"/>
    <mergeCell ref="H18:O18"/>
    <mergeCell ref="U18:AB18"/>
    <mergeCell ref="AH18:AO18"/>
    <mergeCell ref="AU18:BB18"/>
    <mergeCell ref="BH18:BO18"/>
    <mergeCell ref="BD9:BD18"/>
    <mergeCell ref="BF9:BF18"/>
    <mergeCell ref="BH9:BO9"/>
    <mergeCell ref="F22:F31"/>
    <mergeCell ref="H22:O22"/>
    <mergeCell ref="Q22:Q31"/>
    <mergeCell ref="S22:S31"/>
    <mergeCell ref="U22:AB22"/>
    <mergeCell ref="AD22:AD31"/>
    <mergeCell ref="G19:P19"/>
    <mergeCell ref="T19:AC19"/>
    <mergeCell ref="AG19:AP19"/>
    <mergeCell ref="BQ22:BQ31"/>
    <mergeCell ref="G23:G30"/>
    <mergeCell ref="P23:P30"/>
    <mergeCell ref="T23:T30"/>
    <mergeCell ref="AC23:AC30"/>
    <mergeCell ref="AG23:AG30"/>
    <mergeCell ref="AP23:AP30"/>
    <mergeCell ref="AT23:AT30"/>
    <mergeCell ref="AF22:AF31"/>
    <mergeCell ref="AH22:AO22"/>
    <mergeCell ref="AQ22:AQ31"/>
    <mergeCell ref="AS22:AS31"/>
    <mergeCell ref="AU22:BB22"/>
    <mergeCell ref="BD22:BD31"/>
    <mergeCell ref="BC23:BC30"/>
    <mergeCell ref="AT32:BC32"/>
    <mergeCell ref="BG32:BP32"/>
    <mergeCell ref="G34:P34"/>
    <mergeCell ref="T34:AC34"/>
    <mergeCell ref="AG34:AP34"/>
    <mergeCell ref="AT34:BC34"/>
    <mergeCell ref="BG34:BP34"/>
    <mergeCell ref="BG23:BG30"/>
    <mergeCell ref="BP23:BP30"/>
    <mergeCell ref="H31:O31"/>
    <mergeCell ref="U31:AB31"/>
    <mergeCell ref="AH31:AO31"/>
    <mergeCell ref="AU31:BB31"/>
    <mergeCell ref="BH31:BO31"/>
    <mergeCell ref="BF22:BF31"/>
    <mergeCell ref="BH22:BO22"/>
    <mergeCell ref="F35:F44"/>
    <mergeCell ref="H35:O35"/>
    <mergeCell ref="Q35:Q44"/>
    <mergeCell ref="S35:S44"/>
    <mergeCell ref="U35:AB35"/>
    <mergeCell ref="AD35:AD44"/>
    <mergeCell ref="G32:P32"/>
    <mergeCell ref="T32:AC32"/>
    <mergeCell ref="AG32:AP32"/>
    <mergeCell ref="BQ35:BQ44"/>
    <mergeCell ref="G36:G43"/>
    <mergeCell ref="P36:P43"/>
    <mergeCell ref="T36:T43"/>
    <mergeCell ref="AC36:AC43"/>
    <mergeCell ref="AG36:AG43"/>
    <mergeCell ref="AP36:AP43"/>
    <mergeCell ref="AT36:AT43"/>
    <mergeCell ref="AF35:AF44"/>
    <mergeCell ref="AH35:AO35"/>
    <mergeCell ref="AQ35:AQ44"/>
    <mergeCell ref="AS35:AS44"/>
    <mergeCell ref="AU35:BB35"/>
    <mergeCell ref="BD35:BD44"/>
    <mergeCell ref="BC36:BC43"/>
    <mergeCell ref="AT45:BC45"/>
    <mergeCell ref="BG45:BP45"/>
    <mergeCell ref="G47:P47"/>
    <mergeCell ref="T47:AC47"/>
    <mergeCell ref="AG47:AP47"/>
    <mergeCell ref="AT47:BC47"/>
    <mergeCell ref="BG47:BP47"/>
    <mergeCell ref="BG36:BG43"/>
    <mergeCell ref="BP36:BP43"/>
    <mergeCell ref="H44:O44"/>
    <mergeCell ref="U44:AB44"/>
    <mergeCell ref="AH44:AO44"/>
    <mergeCell ref="AU44:BB44"/>
    <mergeCell ref="BH44:BO44"/>
    <mergeCell ref="BF35:BF44"/>
    <mergeCell ref="BH35:BO35"/>
    <mergeCell ref="F48:F57"/>
    <mergeCell ref="H48:O48"/>
    <mergeCell ref="Q48:Q57"/>
    <mergeCell ref="S48:S57"/>
    <mergeCell ref="U48:AB48"/>
    <mergeCell ref="AD48:AD57"/>
    <mergeCell ref="G45:P45"/>
    <mergeCell ref="T45:AC45"/>
    <mergeCell ref="AG45:AP45"/>
    <mergeCell ref="BQ48:BQ57"/>
    <mergeCell ref="G49:G56"/>
    <mergeCell ref="P49:P56"/>
    <mergeCell ref="T49:T56"/>
    <mergeCell ref="AC49:AC56"/>
    <mergeCell ref="AG49:AG56"/>
    <mergeCell ref="AP49:AP56"/>
    <mergeCell ref="AT49:AT56"/>
    <mergeCell ref="AF48:AF57"/>
    <mergeCell ref="AH48:AO48"/>
    <mergeCell ref="AQ48:AQ57"/>
    <mergeCell ref="AS48:AS57"/>
    <mergeCell ref="AU48:BB48"/>
    <mergeCell ref="BD48:BD57"/>
    <mergeCell ref="BC49:BC56"/>
    <mergeCell ref="AT58:BC58"/>
    <mergeCell ref="BG58:BP58"/>
    <mergeCell ref="G60:P60"/>
    <mergeCell ref="T60:AC60"/>
    <mergeCell ref="AG60:AP60"/>
    <mergeCell ref="AT60:BC60"/>
    <mergeCell ref="BG60:BP60"/>
    <mergeCell ref="BG49:BG56"/>
    <mergeCell ref="BP49:BP56"/>
    <mergeCell ref="H57:O57"/>
    <mergeCell ref="U57:AB57"/>
    <mergeCell ref="AH57:AO57"/>
    <mergeCell ref="AU57:BB57"/>
    <mergeCell ref="BH57:BO57"/>
    <mergeCell ref="BF48:BF57"/>
    <mergeCell ref="BH48:BO48"/>
    <mergeCell ref="F61:F70"/>
    <mergeCell ref="H61:O61"/>
    <mergeCell ref="Q61:Q70"/>
    <mergeCell ref="S61:S70"/>
    <mergeCell ref="U61:AB61"/>
    <mergeCell ref="AD61:AD70"/>
    <mergeCell ref="G58:P58"/>
    <mergeCell ref="T58:AC58"/>
    <mergeCell ref="AG58:AP58"/>
    <mergeCell ref="BQ61:BQ70"/>
    <mergeCell ref="G62:G69"/>
    <mergeCell ref="P62:P69"/>
    <mergeCell ref="T62:T69"/>
    <mergeCell ref="AC62:AC69"/>
    <mergeCell ref="AG62:AG69"/>
    <mergeCell ref="AP62:AP69"/>
    <mergeCell ref="AT62:AT69"/>
    <mergeCell ref="AF61:AF70"/>
    <mergeCell ref="AH61:AO61"/>
    <mergeCell ref="AQ61:AQ70"/>
    <mergeCell ref="AS61:AS70"/>
    <mergeCell ref="AU61:BB61"/>
    <mergeCell ref="BD61:BD70"/>
    <mergeCell ref="BC62:BC69"/>
    <mergeCell ref="G71:P71"/>
    <mergeCell ref="T71:AC71"/>
    <mergeCell ref="AG71:AP71"/>
    <mergeCell ref="AT71:BC71"/>
    <mergeCell ref="BG71:BP71"/>
    <mergeCell ref="BG62:BG69"/>
    <mergeCell ref="BP62:BP69"/>
    <mergeCell ref="H70:O70"/>
    <mergeCell ref="U70:AB70"/>
    <mergeCell ref="AH70:AO70"/>
    <mergeCell ref="AU70:BB70"/>
    <mergeCell ref="BH70:BO70"/>
    <mergeCell ref="BF61:BF70"/>
    <mergeCell ref="BH61:BO61"/>
  </mergeCells>
  <conditionalFormatting sqref="H9:O9">
    <cfRule type="expression" dxfId="3699" priority="925">
      <formula>H9="City Wall"</formula>
    </cfRule>
  </conditionalFormatting>
  <conditionalFormatting sqref="H18:O18">
    <cfRule type="expression" dxfId="3698" priority="924">
      <formula>H18="City Wall"</formula>
    </cfRule>
  </conditionalFormatting>
  <conditionalFormatting sqref="G10:G17">
    <cfRule type="expression" dxfId="3697" priority="923">
      <formula>G10="City Wall"</formula>
    </cfRule>
  </conditionalFormatting>
  <conditionalFormatting sqref="P10:P17">
    <cfRule type="expression" dxfId="3696" priority="922">
      <formula>P10="City Wall"</formula>
    </cfRule>
  </conditionalFormatting>
  <conditionalFormatting sqref="G9">
    <cfRule type="expression" dxfId="3695" priority="920">
      <formula>G10="City Wall"</formula>
    </cfRule>
    <cfRule type="expression" dxfId="3694" priority="921">
      <formula>H9="City Wall"</formula>
    </cfRule>
  </conditionalFormatting>
  <conditionalFormatting sqref="P9">
    <cfRule type="expression" dxfId="3693" priority="918">
      <formula>P10="City Wall"</formula>
    </cfRule>
    <cfRule type="expression" dxfId="3692" priority="919">
      <formula>H9="City Wall"</formula>
    </cfRule>
  </conditionalFormatting>
  <conditionalFormatting sqref="P18">
    <cfRule type="expression" dxfId="3691" priority="916">
      <formula>H18="City Wall"</formula>
    </cfRule>
    <cfRule type="expression" dxfId="3690" priority="917">
      <formula>P10="City Wall"</formula>
    </cfRule>
  </conditionalFormatting>
  <conditionalFormatting sqref="G18">
    <cfRule type="expression" dxfId="3689" priority="914">
      <formula>G10="City Wall"</formula>
    </cfRule>
    <cfRule type="expression" dxfId="3688" priority="915">
      <formula>H18="City Wall"</formula>
    </cfRule>
  </conditionalFormatting>
  <conditionalFormatting sqref="G19:P19">
    <cfRule type="expression" dxfId="3687" priority="912">
      <formula>G19="Land"</formula>
    </cfRule>
    <cfRule type="expression" dxfId="3686" priority="913">
      <formula>G19="Water"</formula>
    </cfRule>
  </conditionalFormatting>
  <conditionalFormatting sqref="Q19">
    <cfRule type="expression" dxfId="3685" priority="908" stopIfTrue="1">
      <formula>Q9="Water"</formula>
    </cfRule>
    <cfRule type="expression" dxfId="3684" priority="909" stopIfTrue="1">
      <formula>G19="Water"</formula>
    </cfRule>
    <cfRule type="expression" dxfId="3683" priority="910" stopIfTrue="1">
      <formula>G19="Land"</formula>
    </cfRule>
    <cfRule type="expression" dxfId="3682" priority="911" stopIfTrue="1">
      <formula>Q9="Land"</formula>
    </cfRule>
  </conditionalFormatting>
  <conditionalFormatting sqref="G8:P8">
    <cfRule type="expression" dxfId="3681" priority="906" stopIfTrue="1">
      <formula>G8="Water"</formula>
    </cfRule>
    <cfRule type="expression" dxfId="3680" priority="907" stopIfTrue="1">
      <formula>G8="Land"</formula>
    </cfRule>
  </conditionalFormatting>
  <conditionalFormatting sqref="F19">
    <cfRule type="expression" dxfId="3679" priority="902" stopIfTrue="1">
      <formula>F9="Water"</formula>
    </cfRule>
    <cfRule type="expression" dxfId="3678" priority="903" stopIfTrue="1">
      <formula>G19="Water"</formula>
    </cfRule>
    <cfRule type="expression" dxfId="3677" priority="904" stopIfTrue="1">
      <formula>G19="Land"</formula>
    </cfRule>
    <cfRule type="expression" dxfId="3676" priority="905" stopIfTrue="1">
      <formula>F9="Land"</formula>
    </cfRule>
  </conditionalFormatting>
  <conditionalFormatting sqref="F9:F18">
    <cfRule type="expression" dxfId="3675" priority="900" stopIfTrue="1">
      <formula>F9="Water"</formula>
    </cfRule>
    <cfRule type="expression" dxfId="3674" priority="901" stopIfTrue="1">
      <formula>F9="Land"</formula>
    </cfRule>
  </conditionalFormatting>
  <conditionalFormatting sqref="Q9:Q18">
    <cfRule type="expression" dxfId="3673" priority="898" stopIfTrue="1">
      <formula>Q9="Water"</formula>
    </cfRule>
    <cfRule type="expression" dxfId="3672" priority="899" stopIfTrue="1">
      <formula>Q9="Land"</formula>
    </cfRule>
  </conditionalFormatting>
  <conditionalFormatting sqref="Q8">
    <cfRule type="expression" dxfId="3671" priority="894" stopIfTrue="1">
      <formula>Q9="Water"</formula>
    </cfRule>
    <cfRule type="expression" dxfId="3670" priority="895" stopIfTrue="1">
      <formula>G8="Water"</formula>
    </cfRule>
    <cfRule type="expression" dxfId="3669" priority="896" stopIfTrue="1">
      <formula>G8="Land"</formula>
    </cfRule>
    <cfRule type="expression" dxfId="3668" priority="897" stopIfTrue="1">
      <formula>Q9="Land"</formula>
    </cfRule>
  </conditionalFormatting>
  <conditionalFormatting sqref="F8">
    <cfRule type="expression" dxfId="3667" priority="890" stopIfTrue="1">
      <formula>G8="Water"</formula>
    </cfRule>
    <cfRule type="expression" dxfId="3666" priority="891" stopIfTrue="1">
      <formula>F9="Water"</formula>
    </cfRule>
    <cfRule type="expression" dxfId="3665" priority="892" stopIfTrue="1">
      <formula>G8="Land"</formula>
    </cfRule>
    <cfRule type="expression" dxfId="3664" priority="893" stopIfTrue="1">
      <formula>F9="Land"</formula>
    </cfRule>
  </conditionalFormatting>
  <conditionalFormatting sqref="H10:O17">
    <cfRule type="expression" dxfId="3663" priority="889">
      <formula>H10&lt;&gt;""</formula>
    </cfRule>
  </conditionalFormatting>
  <conditionalFormatting sqref="U9:AB9">
    <cfRule type="expression" dxfId="3662" priority="888">
      <formula>U9="City Wall"</formula>
    </cfRule>
  </conditionalFormatting>
  <conditionalFormatting sqref="U18:AB18">
    <cfRule type="expression" dxfId="3661" priority="887">
      <formula>U18="City Wall"</formula>
    </cfRule>
  </conditionalFormatting>
  <conditionalFormatting sqref="T10:T17">
    <cfRule type="expression" dxfId="3660" priority="886">
      <formula>T10="City Wall"</formula>
    </cfRule>
  </conditionalFormatting>
  <conditionalFormatting sqref="AC10:AC17">
    <cfRule type="expression" dxfId="3659" priority="885">
      <formula>AC10="City Wall"</formula>
    </cfRule>
  </conditionalFormatting>
  <conditionalFormatting sqref="T9">
    <cfRule type="expression" dxfId="3658" priority="883">
      <formula>T10="City Wall"</formula>
    </cfRule>
    <cfRule type="expression" dxfId="3657" priority="884">
      <formula>U9="City Wall"</formula>
    </cfRule>
  </conditionalFormatting>
  <conditionalFormatting sqref="AC9">
    <cfRule type="expression" dxfId="3656" priority="881">
      <formula>AC10="City Wall"</formula>
    </cfRule>
    <cfRule type="expression" dxfId="3655" priority="882">
      <formula>U9="City Wall"</formula>
    </cfRule>
  </conditionalFormatting>
  <conditionalFormatting sqref="AC18">
    <cfRule type="expression" dxfId="3654" priority="879">
      <formula>U18="City Wall"</formula>
    </cfRule>
    <cfRule type="expression" dxfId="3653" priority="880">
      <formula>AC10="City Wall"</formula>
    </cfRule>
  </conditionalFormatting>
  <conditionalFormatting sqref="T18">
    <cfRule type="expression" dxfId="3652" priority="877">
      <formula>T10="City Wall"</formula>
    </cfRule>
    <cfRule type="expression" dxfId="3651" priority="878">
      <formula>U18="City Wall"</formula>
    </cfRule>
  </conditionalFormatting>
  <conditionalFormatting sqref="T19:AC19">
    <cfRule type="expression" dxfId="3650" priority="875">
      <formula>T19="Land"</formula>
    </cfRule>
    <cfRule type="expression" dxfId="3649" priority="876">
      <formula>T19="Water"</formula>
    </cfRule>
  </conditionalFormatting>
  <conditionalFormatting sqref="AD19">
    <cfRule type="expression" dxfId="3648" priority="871" stopIfTrue="1">
      <formula>AD9="Water"</formula>
    </cfRule>
    <cfRule type="expression" dxfId="3647" priority="872" stopIfTrue="1">
      <formula>T19="Water"</formula>
    </cfRule>
    <cfRule type="expression" dxfId="3646" priority="873" stopIfTrue="1">
      <formula>T19="Land"</formula>
    </cfRule>
    <cfRule type="expression" dxfId="3645" priority="874" stopIfTrue="1">
      <formula>AD9="Land"</formula>
    </cfRule>
  </conditionalFormatting>
  <conditionalFormatting sqref="T8:AC8">
    <cfRule type="expression" dxfId="3644" priority="869" stopIfTrue="1">
      <formula>T8="Water"</formula>
    </cfRule>
    <cfRule type="expression" dxfId="3643" priority="870" stopIfTrue="1">
      <formula>T8="Land"</formula>
    </cfRule>
  </conditionalFormatting>
  <conditionalFormatting sqref="S19">
    <cfRule type="expression" dxfId="3642" priority="865" stopIfTrue="1">
      <formula>S9="Water"</formula>
    </cfRule>
    <cfRule type="expression" dxfId="3641" priority="866" stopIfTrue="1">
      <formula>T19="Water"</formula>
    </cfRule>
    <cfRule type="expression" dxfId="3640" priority="867" stopIfTrue="1">
      <formula>T19="Land"</formula>
    </cfRule>
    <cfRule type="expression" dxfId="3639" priority="868" stopIfTrue="1">
      <formula>S9="Land"</formula>
    </cfRule>
  </conditionalFormatting>
  <conditionalFormatting sqref="S9:S18">
    <cfRule type="expression" dxfId="3638" priority="863" stopIfTrue="1">
      <formula>S9="Water"</formula>
    </cfRule>
    <cfRule type="expression" dxfId="3637" priority="864" stopIfTrue="1">
      <formula>S9="Land"</formula>
    </cfRule>
  </conditionalFormatting>
  <conditionalFormatting sqref="AD9:AD18">
    <cfRule type="expression" dxfId="3636" priority="861" stopIfTrue="1">
      <formula>AD9="Water"</formula>
    </cfRule>
    <cfRule type="expression" dxfId="3635" priority="862" stopIfTrue="1">
      <formula>AD9="Land"</formula>
    </cfRule>
  </conditionalFormatting>
  <conditionalFormatting sqref="AD8">
    <cfRule type="expression" dxfId="3634" priority="857" stopIfTrue="1">
      <formula>AD9="Water"</formula>
    </cfRule>
    <cfRule type="expression" dxfId="3633" priority="858" stopIfTrue="1">
      <formula>T8="Water"</formula>
    </cfRule>
    <cfRule type="expression" dxfId="3632" priority="859" stopIfTrue="1">
      <formula>T8="Land"</formula>
    </cfRule>
    <cfRule type="expression" dxfId="3631" priority="860" stopIfTrue="1">
      <formula>AD9="Land"</formula>
    </cfRule>
  </conditionalFormatting>
  <conditionalFormatting sqref="S8">
    <cfRule type="expression" dxfId="3630" priority="853" stopIfTrue="1">
      <formula>T8="Water"</formula>
    </cfRule>
    <cfRule type="expression" dxfId="3629" priority="854" stopIfTrue="1">
      <formula>S9="Water"</formula>
    </cfRule>
    <cfRule type="expression" dxfId="3628" priority="855" stopIfTrue="1">
      <formula>T8="Land"</formula>
    </cfRule>
    <cfRule type="expression" dxfId="3627" priority="856" stopIfTrue="1">
      <formula>S9="Land"</formula>
    </cfRule>
  </conditionalFormatting>
  <conditionalFormatting sqref="U10:AB17">
    <cfRule type="expression" dxfId="3626" priority="852">
      <formula>U10&lt;&gt;""</formula>
    </cfRule>
  </conditionalFormatting>
  <conditionalFormatting sqref="AH9:AO9">
    <cfRule type="expression" dxfId="3625" priority="851">
      <formula>AH9="City Wall"</formula>
    </cfRule>
  </conditionalFormatting>
  <conditionalFormatting sqref="AH18:AO18">
    <cfRule type="expression" dxfId="3624" priority="850">
      <formula>AH18="City Wall"</formula>
    </cfRule>
  </conditionalFormatting>
  <conditionalFormatting sqref="AG10:AG17">
    <cfRule type="expression" dxfId="3623" priority="849">
      <formula>AG10="City Wall"</formula>
    </cfRule>
  </conditionalFormatting>
  <conditionalFormatting sqref="AP10:AP17">
    <cfRule type="expression" dxfId="3622" priority="848">
      <formula>AP10="City Wall"</formula>
    </cfRule>
  </conditionalFormatting>
  <conditionalFormatting sqref="AG9">
    <cfRule type="expression" dxfId="3621" priority="846">
      <formula>AG10="City Wall"</formula>
    </cfRule>
    <cfRule type="expression" dxfId="3620" priority="847">
      <formula>AH9="City Wall"</formula>
    </cfRule>
  </conditionalFormatting>
  <conditionalFormatting sqref="AP9">
    <cfRule type="expression" dxfId="3619" priority="844">
      <formula>AP10="City Wall"</formula>
    </cfRule>
    <cfRule type="expression" dxfId="3618" priority="845">
      <formula>AH9="City Wall"</formula>
    </cfRule>
  </conditionalFormatting>
  <conditionalFormatting sqref="AP18">
    <cfRule type="expression" dxfId="3617" priority="842">
      <formula>AH18="City Wall"</formula>
    </cfRule>
    <cfRule type="expression" dxfId="3616" priority="843">
      <formula>AP10="City Wall"</formula>
    </cfRule>
  </conditionalFormatting>
  <conditionalFormatting sqref="AG18">
    <cfRule type="expression" dxfId="3615" priority="840">
      <formula>AG10="City Wall"</formula>
    </cfRule>
    <cfRule type="expression" dxfId="3614" priority="841">
      <formula>AH18="City Wall"</formula>
    </cfRule>
  </conditionalFormatting>
  <conditionalFormatting sqref="AG19:AP19">
    <cfRule type="expression" dxfId="3613" priority="838">
      <formula>AG19="Land"</formula>
    </cfRule>
    <cfRule type="expression" dxfId="3612" priority="839">
      <formula>AG19="Water"</formula>
    </cfRule>
  </conditionalFormatting>
  <conditionalFormatting sqref="AQ19">
    <cfRule type="expression" dxfId="3611" priority="834" stopIfTrue="1">
      <formula>AQ9="Water"</formula>
    </cfRule>
    <cfRule type="expression" dxfId="3610" priority="835" stopIfTrue="1">
      <formula>AG19="Water"</formula>
    </cfRule>
    <cfRule type="expression" dxfId="3609" priority="836" stopIfTrue="1">
      <formula>AG19="Land"</formula>
    </cfRule>
    <cfRule type="expression" dxfId="3608" priority="837" stopIfTrue="1">
      <formula>AQ9="Land"</formula>
    </cfRule>
  </conditionalFormatting>
  <conditionalFormatting sqref="AG8:AP8">
    <cfRule type="expression" dxfId="3607" priority="832" stopIfTrue="1">
      <formula>AG8="Water"</formula>
    </cfRule>
    <cfRule type="expression" dxfId="3606" priority="833" stopIfTrue="1">
      <formula>AG8="Land"</formula>
    </cfRule>
  </conditionalFormatting>
  <conditionalFormatting sqref="AF19">
    <cfRule type="expression" dxfId="3605" priority="828" stopIfTrue="1">
      <formula>AF9="Water"</formula>
    </cfRule>
    <cfRule type="expression" dxfId="3604" priority="829" stopIfTrue="1">
      <formula>AG19="Water"</formula>
    </cfRule>
    <cfRule type="expression" dxfId="3603" priority="830" stopIfTrue="1">
      <formula>AG19="Land"</formula>
    </cfRule>
    <cfRule type="expression" dxfId="3602" priority="831" stopIfTrue="1">
      <formula>AF9="Land"</formula>
    </cfRule>
  </conditionalFormatting>
  <conditionalFormatting sqref="AF9:AF18">
    <cfRule type="expression" dxfId="3601" priority="826" stopIfTrue="1">
      <formula>AF9="Water"</formula>
    </cfRule>
    <cfRule type="expression" dxfId="3600" priority="827" stopIfTrue="1">
      <formula>AF9="Land"</formula>
    </cfRule>
  </conditionalFormatting>
  <conditionalFormatting sqref="AQ9:AQ18">
    <cfRule type="expression" dxfId="3599" priority="824" stopIfTrue="1">
      <formula>AQ9="Water"</formula>
    </cfRule>
    <cfRule type="expression" dxfId="3598" priority="825" stopIfTrue="1">
      <formula>AQ9="Land"</formula>
    </cfRule>
  </conditionalFormatting>
  <conditionalFormatting sqref="AQ8">
    <cfRule type="expression" dxfId="3597" priority="820" stopIfTrue="1">
      <formula>AQ9="Water"</formula>
    </cfRule>
    <cfRule type="expression" dxfId="3596" priority="821" stopIfTrue="1">
      <formula>AG8="Water"</formula>
    </cfRule>
    <cfRule type="expression" dxfId="3595" priority="822" stopIfTrue="1">
      <formula>AG8="Land"</formula>
    </cfRule>
    <cfRule type="expression" dxfId="3594" priority="823" stopIfTrue="1">
      <formula>AQ9="Land"</formula>
    </cfRule>
  </conditionalFormatting>
  <conditionalFormatting sqref="AF8">
    <cfRule type="expression" dxfId="3593" priority="816" stopIfTrue="1">
      <formula>AG8="Water"</formula>
    </cfRule>
    <cfRule type="expression" dxfId="3592" priority="817" stopIfTrue="1">
      <formula>AF9="Water"</formula>
    </cfRule>
    <cfRule type="expression" dxfId="3591" priority="818" stopIfTrue="1">
      <formula>AG8="Land"</formula>
    </cfRule>
    <cfRule type="expression" dxfId="3590" priority="819" stopIfTrue="1">
      <formula>AF9="Land"</formula>
    </cfRule>
  </conditionalFormatting>
  <conditionalFormatting sqref="AH10:AO17">
    <cfRule type="expression" dxfId="3589" priority="815">
      <formula>AH10&lt;&gt;""</formula>
    </cfRule>
  </conditionalFormatting>
  <conditionalFormatting sqref="H22:O22">
    <cfRule type="expression" dxfId="3588" priority="814">
      <formula>H22="City Wall"</formula>
    </cfRule>
  </conditionalFormatting>
  <conditionalFormatting sqref="H31:O31">
    <cfRule type="expression" dxfId="3587" priority="813">
      <formula>H31="City Wall"</formula>
    </cfRule>
  </conditionalFormatting>
  <conditionalFormatting sqref="G23:G30">
    <cfRule type="expression" dxfId="3586" priority="812">
      <formula>G23="City Wall"</formula>
    </cfRule>
  </conditionalFormatting>
  <conditionalFormatting sqref="P23:P30">
    <cfRule type="expression" dxfId="3585" priority="811">
      <formula>P23="City Wall"</formula>
    </cfRule>
  </conditionalFormatting>
  <conditionalFormatting sqref="G22">
    <cfRule type="expression" dxfId="3584" priority="809">
      <formula>G23="City Wall"</formula>
    </cfRule>
    <cfRule type="expression" dxfId="3583" priority="810">
      <formula>H22="City Wall"</formula>
    </cfRule>
  </conditionalFormatting>
  <conditionalFormatting sqref="P22">
    <cfRule type="expression" dxfId="3582" priority="807">
      <formula>P23="City Wall"</formula>
    </cfRule>
    <cfRule type="expression" dxfId="3581" priority="808">
      <formula>H22="City Wall"</formula>
    </cfRule>
  </conditionalFormatting>
  <conditionalFormatting sqref="P31">
    <cfRule type="expression" dxfId="3580" priority="805">
      <formula>H31="City Wall"</formula>
    </cfRule>
    <cfRule type="expression" dxfId="3579" priority="806">
      <formula>P23="City Wall"</formula>
    </cfRule>
  </conditionalFormatting>
  <conditionalFormatting sqref="G31">
    <cfRule type="expression" dxfId="3578" priority="803">
      <formula>G23="City Wall"</formula>
    </cfRule>
    <cfRule type="expression" dxfId="3577" priority="804">
      <formula>H31="City Wall"</formula>
    </cfRule>
  </conditionalFormatting>
  <conditionalFormatting sqref="G32:P32">
    <cfRule type="expression" dxfId="3576" priority="801">
      <formula>G32="Land"</formula>
    </cfRule>
    <cfRule type="expression" dxfId="3575" priority="802">
      <formula>G32="Water"</formula>
    </cfRule>
  </conditionalFormatting>
  <conditionalFormatting sqref="Q32">
    <cfRule type="expression" dxfId="3574" priority="797" stopIfTrue="1">
      <formula>Q22="Water"</formula>
    </cfRule>
    <cfRule type="expression" dxfId="3573" priority="798" stopIfTrue="1">
      <formula>G32="Water"</formula>
    </cfRule>
    <cfRule type="expression" dxfId="3572" priority="799" stopIfTrue="1">
      <formula>G32="Land"</formula>
    </cfRule>
    <cfRule type="expression" dxfId="3571" priority="800" stopIfTrue="1">
      <formula>Q22="Land"</formula>
    </cfRule>
  </conditionalFormatting>
  <conditionalFormatting sqref="G21:P21">
    <cfRule type="expression" dxfId="3570" priority="795" stopIfTrue="1">
      <formula>G21="Water"</formula>
    </cfRule>
    <cfRule type="expression" dxfId="3569" priority="796" stopIfTrue="1">
      <formula>G21="Land"</formula>
    </cfRule>
  </conditionalFormatting>
  <conditionalFormatting sqref="F32">
    <cfRule type="expression" dxfId="3568" priority="791" stopIfTrue="1">
      <formula>F22="Water"</formula>
    </cfRule>
    <cfRule type="expression" dxfId="3567" priority="792" stopIfTrue="1">
      <formula>G32="Water"</formula>
    </cfRule>
    <cfRule type="expression" dxfId="3566" priority="793" stopIfTrue="1">
      <formula>G32="Land"</formula>
    </cfRule>
    <cfRule type="expression" dxfId="3565" priority="794" stopIfTrue="1">
      <formula>F22="Land"</formula>
    </cfRule>
  </conditionalFormatting>
  <conditionalFormatting sqref="F22:F31">
    <cfRule type="expression" dxfId="3564" priority="789" stopIfTrue="1">
      <formula>F22="Water"</formula>
    </cfRule>
    <cfRule type="expression" dxfId="3563" priority="790" stopIfTrue="1">
      <formula>F22="Land"</formula>
    </cfRule>
  </conditionalFormatting>
  <conditionalFormatting sqref="Q22:Q31">
    <cfRule type="expression" dxfId="3562" priority="787" stopIfTrue="1">
      <formula>Q22="Water"</formula>
    </cfRule>
    <cfRule type="expression" dxfId="3561" priority="788" stopIfTrue="1">
      <formula>Q22="Land"</formula>
    </cfRule>
  </conditionalFormatting>
  <conditionalFormatting sqref="Q21">
    <cfRule type="expression" dxfId="3560" priority="783" stopIfTrue="1">
      <formula>Q22="Water"</formula>
    </cfRule>
    <cfRule type="expression" dxfId="3559" priority="784" stopIfTrue="1">
      <formula>G21="Water"</formula>
    </cfRule>
    <cfRule type="expression" dxfId="3558" priority="785" stopIfTrue="1">
      <formula>G21="Land"</formula>
    </cfRule>
    <cfRule type="expression" dxfId="3557" priority="786" stopIfTrue="1">
      <formula>Q22="Land"</formula>
    </cfRule>
  </conditionalFormatting>
  <conditionalFormatting sqref="F21">
    <cfRule type="expression" dxfId="3556" priority="779" stopIfTrue="1">
      <formula>G21="Water"</formula>
    </cfRule>
    <cfRule type="expression" dxfId="3555" priority="780" stopIfTrue="1">
      <formula>F22="Water"</formula>
    </cfRule>
    <cfRule type="expression" dxfId="3554" priority="781" stopIfTrue="1">
      <formula>G21="Land"</formula>
    </cfRule>
    <cfRule type="expression" dxfId="3553" priority="782" stopIfTrue="1">
      <formula>F22="Land"</formula>
    </cfRule>
  </conditionalFormatting>
  <conditionalFormatting sqref="H23:O30">
    <cfRule type="expression" dxfId="3552" priority="778">
      <formula>H23&lt;&gt;""</formula>
    </cfRule>
  </conditionalFormatting>
  <conditionalFormatting sqref="U22:AB22">
    <cfRule type="expression" dxfId="3551" priority="777">
      <formula>U22="City Wall"</formula>
    </cfRule>
  </conditionalFormatting>
  <conditionalFormatting sqref="U31:AB31">
    <cfRule type="expression" dxfId="3550" priority="776">
      <formula>U31="City Wall"</formula>
    </cfRule>
  </conditionalFormatting>
  <conditionalFormatting sqref="T23:T30">
    <cfRule type="expression" dxfId="3549" priority="775">
      <formula>T23="City Wall"</formula>
    </cfRule>
  </conditionalFormatting>
  <conditionalFormatting sqref="AC23:AC30">
    <cfRule type="expression" dxfId="3548" priority="774">
      <formula>AC23="City Wall"</formula>
    </cfRule>
  </conditionalFormatting>
  <conditionalFormatting sqref="T22">
    <cfRule type="expression" dxfId="3547" priority="772">
      <formula>T23="City Wall"</formula>
    </cfRule>
    <cfRule type="expression" dxfId="3546" priority="773">
      <formula>U22="City Wall"</formula>
    </cfRule>
  </conditionalFormatting>
  <conditionalFormatting sqref="AC22">
    <cfRule type="expression" dxfId="3545" priority="770">
      <formula>AC23="City Wall"</formula>
    </cfRule>
    <cfRule type="expression" dxfId="3544" priority="771">
      <formula>U22="City Wall"</formula>
    </cfRule>
  </conditionalFormatting>
  <conditionalFormatting sqref="AC31">
    <cfRule type="expression" dxfId="3543" priority="768">
      <formula>U31="City Wall"</formula>
    </cfRule>
    <cfRule type="expression" dxfId="3542" priority="769">
      <formula>AC23="City Wall"</formula>
    </cfRule>
  </conditionalFormatting>
  <conditionalFormatting sqref="T31">
    <cfRule type="expression" dxfId="3541" priority="766">
      <formula>T23="City Wall"</formula>
    </cfRule>
    <cfRule type="expression" dxfId="3540" priority="767">
      <formula>U31="City Wall"</formula>
    </cfRule>
  </conditionalFormatting>
  <conditionalFormatting sqref="T32:AC32">
    <cfRule type="expression" dxfId="3539" priority="764">
      <formula>T32="Land"</formula>
    </cfRule>
    <cfRule type="expression" dxfId="3538" priority="765">
      <formula>T32="Water"</formula>
    </cfRule>
  </conditionalFormatting>
  <conditionalFormatting sqref="AD32">
    <cfRule type="expression" dxfId="3537" priority="760" stopIfTrue="1">
      <formula>AD22="Water"</formula>
    </cfRule>
    <cfRule type="expression" dxfId="3536" priority="761" stopIfTrue="1">
      <formula>T32="Water"</formula>
    </cfRule>
    <cfRule type="expression" dxfId="3535" priority="762" stopIfTrue="1">
      <formula>T32="Land"</formula>
    </cfRule>
    <cfRule type="expression" dxfId="3534" priority="763" stopIfTrue="1">
      <formula>AD22="Land"</formula>
    </cfRule>
  </conditionalFormatting>
  <conditionalFormatting sqref="T21:AC21">
    <cfRule type="expression" dxfId="3533" priority="758" stopIfTrue="1">
      <formula>T21="Water"</formula>
    </cfRule>
    <cfRule type="expression" dxfId="3532" priority="759" stopIfTrue="1">
      <formula>T21="Land"</formula>
    </cfRule>
  </conditionalFormatting>
  <conditionalFormatting sqref="S32">
    <cfRule type="expression" dxfId="3531" priority="754" stopIfTrue="1">
      <formula>S22="Water"</formula>
    </cfRule>
    <cfRule type="expression" dxfId="3530" priority="755" stopIfTrue="1">
      <formula>T32="Water"</formula>
    </cfRule>
    <cfRule type="expression" dxfId="3529" priority="756" stopIfTrue="1">
      <formula>T32="Land"</formula>
    </cfRule>
    <cfRule type="expression" dxfId="3528" priority="757" stopIfTrue="1">
      <formula>S22="Land"</formula>
    </cfRule>
  </conditionalFormatting>
  <conditionalFormatting sqref="S22:S31">
    <cfRule type="expression" dxfId="3527" priority="752" stopIfTrue="1">
      <formula>S22="Water"</formula>
    </cfRule>
    <cfRule type="expression" dxfId="3526" priority="753" stopIfTrue="1">
      <formula>S22="Land"</formula>
    </cfRule>
  </conditionalFormatting>
  <conditionalFormatting sqref="AD22:AD31">
    <cfRule type="expression" dxfId="3525" priority="750" stopIfTrue="1">
      <formula>AD22="Water"</formula>
    </cfRule>
    <cfRule type="expression" dxfId="3524" priority="751" stopIfTrue="1">
      <formula>AD22="Land"</formula>
    </cfRule>
  </conditionalFormatting>
  <conditionalFormatting sqref="AD21">
    <cfRule type="expression" dxfId="3523" priority="746" stopIfTrue="1">
      <formula>AD22="Water"</formula>
    </cfRule>
    <cfRule type="expression" dxfId="3522" priority="747" stopIfTrue="1">
      <formula>T21="Water"</formula>
    </cfRule>
    <cfRule type="expression" dxfId="3521" priority="748" stopIfTrue="1">
      <formula>T21="Land"</formula>
    </cfRule>
    <cfRule type="expression" dxfId="3520" priority="749" stopIfTrue="1">
      <formula>AD22="Land"</formula>
    </cfRule>
  </conditionalFormatting>
  <conditionalFormatting sqref="S21">
    <cfRule type="expression" dxfId="3519" priority="742" stopIfTrue="1">
      <formula>T21="Water"</formula>
    </cfRule>
    <cfRule type="expression" dxfId="3518" priority="743" stopIfTrue="1">
      <formula>S22="Water"</formula>
    </cfRule>
    <cfRule type="expression" dxfId="3517" priority="744" stopIfTrue="1">
      <formula>T21="Land"</formula>
    </cfRule>
    <cfRule type="expression" dxfId="3516" priority="745" stopIfTrue="1">
      <formula>S22="Land"</formula>
    </cfRule>
  </conditionalFormatting>
  <conditionalFormatting sqref="U23:AB30">
    <cfRule type="expression" dxfId="3515" priority="741">
      <formula>U23&lt;&gt;""</formula>
    </cfRule>
  </conditionalFormatting>
  <conditionalFormatting sqref="AH22:AO22">
    <cfRule type="expression" dxfId="3514" priority="740">
      <formula>AH22="City Wall"</formula>
    </cfRule>
  </conditionalFormatting>
  <conditionalFormatting sqref="AH31:AO31">
    <cfRule type="expression" dxfId="3513" priority="739">
      <formula>AH31="City Wall"</formula>
    </cfRule>
  </conditionalFormatting>
  <conditionalFormatting sqref="AG23:AG30">
    <cfRule type="expression" dxfId="3512" priority="738">
      <formula>AG23="City Wall"</formula>
    </cfRule>
  </conditionalFormatting>
  <conditionalFormatting sqref="AP23:AP30">
    <cfRule type="expression" dxfId="3511" priority="737">
      <formula>AP23="City Wall"</formula>
    </cfRule>
  </conditionalFormatting>
  <conditionalFormatting sqref="AG22">
    <cfRule type="expression" dxfId="3510" priority="735">
      <formula>AG23="City Wall"</formula>
    </cfRule>
    <cfRule type="expression" dxfId="3509" priority="736">
      <formula>AH22="City Wall"</formula>
    </cfRule>
  </conditionalFormatting>
  <conditionalFormatting sqref="AP22">
    <cfRule type="expression" dxfId="3508" priority="733">
      <formula>AP23="City Wall"</formula>
    </cfRule>
    <cfRule type="expression" dxfId="3507" priority="734">
      <formula>AH22="City Wall"</formula>
    </cfRule>
  </conditionalFormatting>
  <conditionalFormatting sqref="AP31">
    <cfRule type="expression" dxfId="3506" priority="731">
      <formula>AH31="City Wall"</formula>
    </cfRule>
    <cfRule type="expression" dxfId="3505" priority="732">
      <formula>AP23="City Wall"</formula>
    </cfRule>
  </conditionalFormatting>
  <conditionalFormatting sqref="AG31">
    <cfRule type="expression" dxfId="3504" priority="729">
      <formula>AG23="City Wall"</formula>
    </cfRule>
    <cfRule type="expression" dxfId="3503" priority="730">
      <formula>AH31="City Wall"</formula>
    </cfRule>
  </conditionalFormatting>
  <conditionalFormatting sqref="AG32:AP32">
    <cfRule type="expression" dxfId="3502" priority="727">
      <formula>AG32="Land"</formula>
    </cfRule>
    <cfRule type="expression" dxfId="3501" priority="728">
      <formula>AG32="Water"</formula>
    </cfRule>
  </conditionalFormatting>
  <conditionalFormatting sqref="AQ32">
    <cfRule type="expression" dxfId="3500" priority="723" stopIfTrue="1">
      <formula>AQ22="Water"</formula>
    </cfRule>
    <cfRule type="expression" dxfId="3499" priority="724" stopIfTrue="1">
      <formula>AG32="Water"</formula>
    </cfRule>
    <cfRule type="expression" dxfId="3498" priority="725" stopIfTrue="1">
      <formula>AG32="Land"</formula>
    </cfRule>
    <cfRule type="expression" dxfId="3497" priority="726" stopIfTrue="1">
      <formula>AQ22="Land"</formula>
    </cfRule>
  </conditionalFormatting>
  <conditionalFormatting sqref="AG21:AP21">
    <cfRule type="expression" dxfId="3496" priority="721" stopIfTrue="1">
      <formula>AG21="Water"</formula>
    </cfRule>
    <cfRule type="expression" dxfId="3495" priority="722" stopIfTrue="1">
      <formula>AG21="Land"</formula>
    </cfRule>
  </conditionalFormatting>
  <conditionalFormatting sqref="AF32">
    <cfRule type="expression" dxfId="3494" priority="717" stopIfTrue="1">
      <formula>AF22="Water"</formula>
    </cfRule>
    <cfRule type="expression" dxfId="3493" priority="718" stopIfTrue="1">
      <formula>AG32="Water"</formula>
    </cfRule>
    <cfRule type="expression" dxfId="3492" priority="719" stopIfTrue="1">
      <formula>AG32="Land"</formula>
    </cfRule>
    <cfRule type="expression" dxfId="3491" priority="720" stopIfTrue="1">
      <formula>AF22="Land"</formula>
    </cfRule>
  </conditionalFormatting>
  <conditionalFormatting sqref="AF22:AF31">
    <cfRule type="expression" dxfId="3490" priority="715" stopIfTrue="1">
      <formula>AF22="Water"</formula>
    </cfRule>
    <cfRule type="expression" dxfId="3489" priority="716" stopIfTrue="1">
      <formula>AF22="Land"</formula>
    </cfRule>
  </conditionalFormatting>
  <conditionalFormatting sqref="AQ22:AQ31">
    <cfRule type="expression" dxfId="3488" priority="713" stopIfTrue="1">
      <formula>AQ22="Water"</formula>
    </cfRule>
    <cfRule type="expression" dxfId="3487" priority="714" stopIfTrue="1">
      <formula>AQ22="Land"</formula>
    </cfRule>
  </conditionalFormatting>
  <conditionalFormatting sqref="AQ21">
    <cfRule type="expression" dxfId="3486" priority="709" stopIfTrue="1">
      <formula>AQ22="Water"</formula>
    </cfRule>
    <cfRule type="expression" dxfId="3485" priority="710" stopIfTrue="1">
      <formula>AG21="Water"</formula>
    </cfRule>
    <cfRule type="expression" dxfId="3484" priority="711" stopIfTrue="1">
      <formula>AG21="Land"</formula>
    </cfRule>
    <cfRule type="expression" dxfId="3483" priority="712" stopIfTrue="1">
      <formula>AQ22="Land"</formula>
    </cfRule>
  </conditionalFormatting>
  <conditionalFormatting sqref="AF21">
    <cfRule type="expression" dxfId="3482" priority="705" stopIfTrue="1">
      <formula>AG21="Water"</formula>
    </cfRule>
    <cfRule type="expression" dxfId="3481" priority="706" stopIfTrue="1">
      <formula>AF22="Water"</formula>
    </cfRule>
    <cfRule type="expression" dxfId="3480" priority="707" stopIfTrue="1">
      <formula>AG21="Land"</formula>
    </cfRule>
    <cfRule type="expression" dxfId="3479" priority="708" stopIfTrue="1">
      <formula>AF22="Land"</formula>
    </cfRule>
  </conditionalFormatting>
  <conditionalFormatting sqref="AH23:AO30">
    <cfRule type="expression" dxfId="3478" priority="704">
      <formula>AH23&lt;&gt;""</formula>
    </cfRule>
  </conditionalFormatting>
  <conditionalFormatting sqref="H35:O35">
    <cfRule type="expression" dxfId="3477" priority="703">
      <formula>H35="City Wall"</formula>
    </cfRule>
  </conditionalFormatting>
  <conditionalFormatting sqref="H44:O44">
    <cfRule type="expression" dxfId="3476" priority="702">
      <formula>H44="City Wall"</formula>
    </cfRule>
  </conditionalFormatting>
  <conditionalFormatting sqref="G36:G43">
    <cfRule type="expression" dxfId="3475" priority="701">
      <formula>G36="City Wall"</formula>
    </cfRule>
  </conditionalFormatting>
  <conditionalFormatting sqref="P36:P43">
    <cfRule type="expression" dxfId="3474" priority="700">
      <formula>P36="City Wall"</formula>
    </cfRule>
  </conditionalFormatting>
  <conditionalFormatting sqref="G35">
    <cfRule type="expression" dxfId="3473" priority="698">
      <formula>G36="City Wall"</formula>
    </cfRule>
    <cfRule type="expression" dxfId="3472" priority="699">
      <formula>H35="City Wall"</formula>
    </cfRule>
  </conditionalFormatting>
  <conditionalFormatting sqref="P35">
    <cfRule type="expression" dxfId="3471" priority="696">
      <formula>P36="City Wall"</formula>
    </cfRule>
    <cfRule type="expression" dxfId="3470" priority="697">
      <formula>H35="City Wall"</formula>
    </cfRule>
  </conditionalFormatting>
  <conditionalFormatting sqref="P44">
    <cfRule type="expression" dxfId="3469" priority="694">
      <formula>H44="City Wall"</formula>
    </cfRule>
    <cfRule type="expression" dxfId="3468" priority="695">
      <formula>P36="City Wall"</formula>
    </cfRule>
  </conditionalFormatting>
  <conditionalFormatting sqref="G44">
    <cfRule type="expression" dxfId="3467" priority="692">
      <formula>G36="City Wall"</formula>
    </cfRule>
    <cfRule type="expression" dxfId="3466" priority="693">
      <formula>H44="City Wall"</formula>
    </cfRule>
  </conditionalFormatting>
  <conditionalFormatting sqref="G45:P45">
    <cfRule type="expression" dxfId="3465" priority="690">
      <formula>G45="Land"</formula>
    </cfRule>
    <cfRule type="expression" dxfId="3464" priority="691">
      <formula>G45="Water"</formula>
    </cfRule>
  </conditionalFormatting>
  <conditionalFormatting sqref="Q45">
    <cfRule type="expression" dxfId="3463" priority="686" stopIfTrue="1">
      <formula>Q35="Water"</formula>
    </cfRule>
    <cfRule type="expression" dxfId="3462" priority="687" stopIfTrue="1">
      <formula>G45="Water"</formula>
    </cfRule>
    <cfRule type="expression" dxfId="3461" priority="688" stopIfTrue="1">
      <formula>G45="Land"</formula>
    </cfRule>
    <cfRule type="expression" dxfId="3460" priority="689" stopIfTrue="1">
      <formula>Q35="Land"</formula>
    </cfRule>
  </conditionalFormatting>
  <conditionalFormatting sqref="G34:P34">
    <cfRule type="expression" dxfId="3459" priority="684" stopIfTrue="1">
      <formula>G34="Water"</formula>
    </cfRule>
    <cfRule type="expression" dxfId="3458" priority="685" stopIfTrue="1">
      <formula>G34="Land"</formula>
    </cfRule>
  </conditionalFormatting>
  <conditionalFormatting sqref="F45">
    <cfRule type="expression" dxfId="3457" priority="680" stopIfTrue="1">
      <formula>F35="Water"</formula>
    </cfRule>
    <cfRule type="expression" dxfId="3456" priority="681" stopIfTrue="1">
      <formula>G45="Water"</formula>
    </cfRule>
    <cfRule type="expression" dxfId="3455" priority="682" stopIfTrue="1">
      <formula>G45="Land"</formula>
    </cfRule>
    <cfRule type="expression" dxfId="3454" priority="683" stopIfTrue="1">
      <formula>F35="Land"</formula>
    </cfRule>
  </conditionalFormatting>
  <conditionalFormatting sqref="F35:F44">
    <cfRule type="expression" dxfId="3453" priority="678" stopIfTrue="1">
      <formula>F35="Water"</formula>
    </cfRule>
    <cfRule type="expression" dxfId="3452" priority="679" stopIfTrue="1">
      <formula>F35="Land"</formula>
    </cfRule>
  </conditionalFormatting>
  <conditionalFormatting sqref="Q35:Q44">
    <cfRule type="expression" dxfId="3451" priority="676" stopIfTrue="1">
      <formula>Q35="Water"</formula>
    </cfRule>
    <cfRule type="expression" dxfId="3450" priority="677" stopIfTrue="1">
      <formula>Q35="Land"</formula>
    </cfRule>
  </conditionalFormatting>
  <conditionalFormatting sqref="Q34">
    <cfRule type="expression" dxfId="3449" priority="672" stopIfTrue="1">
      <formula>Q35="Water"</formula>
    </cfRule>
    <cfRule type="expression" dxfId="3448" priority="673" stopIfTrue="1">
      <formula>G34="Water"</formula>
    </cfRule>
    <cfRule type="expression" dxfId="3447" priority="674" stopIfTrue="1">
      <formula>G34="Land"</formula>
    </cfRule>
    <cfRule type="expression" dxfId="3446" priority="675" stopIfTrue="1">
      <formula>Q35="Land"</formula>
    </cfRule>
  </conditionalFormatting>
  <conditionalFormatting sqref="F34">
    <cfRule type="expression" dxfId="3445" priority="668" stopIfTrue="1">
      <formula>G34="Water"</formula>
    </cfRule>
    <cfRule type="expression" dxfId="3444" priority="669" stopIfTrue="1">
      <formula>F35="Water"</formula>
    </cfRule>
    <cfRule type="expression" dxfId="3443" priority="670" stopIfTrue="1">
      <formula>G34="Land"</formula>
    </cfRule>
    <cfRule type="expression" dxfId="3442" priority="671" stopIfTrue="1">
      <formula>F35="Land"</formula>
    </cfRule>
  </conditionalFormatting>
  <conditionalFormatting sqref="H36:O43">
    <cfRule type="expression" dxfId="3441" priority="667">
      <formula>H36&lt;&gt;""</formula>
    </cfRule>
  </conditionalFormatting>
  <conditionalFormatting sqref="U35:AB35">
    <cfRule type="expression" dxfId="3440" priority="666">
      <formula>U35="City Wall"</formula>
    </cfRule>
  </conditionalFormatting>
  <conditionalFormatting sqref="U44:AB44">
    <cfRule type="expression" dxfId="3439" priority="665">
      <formula>U44="City Wall"</formula>
    </cfRule>
  </conditionalFormatting>
  <conditionalFormatting sqref="T36:T43">
    <cfRule type="expression" dxfId="3438" priority="664">
      <formula>T36="City Wall"</formula>
    </cfRule>
  </conditionalFormatting>
  <conditionalFormatting sqref="AC36:AC43">
    <cfRule type="expression" dxfId="3437" priority="663">
      <formula>AC36="City Wall"</formula>
    </cfRule>
  </conditionalFormatting>
  <conditionalFormatting sqref="T35">
    <cfRule type="expression" dxfId="3436" priority="661">
      <formula>T36="City Wall"</formula>
    </cfRule>
    <cfRule type="expression" dxfId="3435" priority="662">
      <formula>U35="City Wall"</formula>
    </cfRule>
  </conditionalFormatting>
  <conditionalFormatting sqref="AC35">
    <cfRule type="expression" dxfId="3434" priority="659">
      <formula>AC36="City Wall"</formula>
    </cfRule>
    <cfRule type="expression" dxfId="3433" priority="660">
      <formula>U35="City Wall"</formula>
    </cfRule>
  </conditionalFormatting>
  <conditionalFormatting sqref="AC44">
    <cfRule type="expression" dxfId="3432" priority="657">
      <formula>U44="City Wall"</formula>
    </cfRule>
    <cfRule type="expression" dxfId="3431" priority="658">
      <formula>AC36="City Wall"</formula>
    </cfRule>
  </conditionalFormatting>
  <conditionalFormatting sqref="T44">
    <cfRule type="expression" dxfId="3430" priority="655">
      <formula>T36="City Wall"</formula>
    </cfRule>
    <cfRule type="expression" dxfId="3429" priority="656">
      <formula>U44="City Wall"</formula>
    </cfRule>
  </conditionalFormatting>
  <conditionalFormatting sqref="T45:AC45">
    <cfRule type="expression" dxfId="3428" priority="653">
      <formula>T45="Land"</formula>
    </cfRule>
    <cfRule type="expression" dxfId="3427" priority="654">
      <formula>T45="Water"</formula>
    </cfRule>
  </conditionalFormatting>
  <conditionalFormatting sqref="AD45">
    <cfRule type="expression" dxfId="3426" priority="649" stopIfTrue="1">
      <formula>AD35="Water"</formula>
    </cfRule>
    <cfRule type="expression" dxfId="3425" priority="650" stopIfTrue="1">
      <formula>T45="Water"</formula>
    </cfRule>
    <cfRule type="expression" dxfId="3424" priority="651" stopIfTrue="1">
      <formula>T45="Land"</formula>
    </cfRule>
    <cfRule type="expression" dxfId="3423" priority="652" stopIfTrue="1">
      <formula>AD35="Land"</formula>
    </cfRule>
  </conditionalFormatting>
  <conditionalFormatting sqref="T34:AC34">
    <cfRule type="expression" dxfId="3422" priority="647" stopIfTrue="1">
      <formula>T34="Water"</formula>
    </cfRule>
    <cfRule type="expression" dxfId="3421" priority="648" stopIfTrue="1">
      <formula>T34="Land"</formula>
    </cfRule>
  </conditionalFormatting>
  <conditionalFormatting sqref="S45">
    <cfRule type="expression" dxfId="3420" priority="643" stopIfTrue="1">
      <formula>S35="Water"</formula>
    </cfRule>
    <cfRule type="expression" dxfId="3419" priority="644" stopIfTrue="1">
      <formula>T45="Water"</formula>
    </cfRule>
    <cfRule type="expression" dxfId="3418" priority="645" stopIfTrue="1">
      <formula>T45="Land"</formula>
    </cfRule>
    <cfRule type="expression" dxfId="3417" priority="646" stopIfTrue="1">
      <formula>S35="Land"</formula>
    </cfRule>
  </conditionalFormatting>
  <conditionalFormatting sqref="S35:S44">
    <cfRule type="expression" dxfId="3416" priority="641" stopIfTrue="1">
      <formula>S35="Water"</formula>
    </cfRule>
    <cfRule type="expression" dxfId="3415" priority="642" stopIfTrue="1">
      <formula>S35="Land"</formula>
    </cfRule>
  </conditionalFormatting>
  <conditionalFormatting sqref="AD35:AD44">
    <cfRule type="expression" dxfId="3414" priority="639" stopIfTrue="1">
      <formula>AD35="Water"</formula>
    </cfRule>
    <cfRule type="expression" dxfId="3413" priority="640" stopIfTrue="1">
      <formula>AD35="Land"</formula>
    </cfRule>
  </conditionalFormatting>
  <conditionalFormatting sqref="AD34">
    <cfRule type="expression" dxfId="3412" priority="635" stopIfTrue="1">
      <formula>AD35="Water"</formula>
    </cfRule>
    <cfRule type="expression" dxfId="3411" priority="636" stopIfTrue="1">
      <formula>T34="Water"</formula>
    </cfRule>
    <cfRule type="expression" dxfId="3410" priority="637" stopIfTrue="1">
      <formula>T34="Land"</formula>
    </cfRule>
    <cfRule type="expression" dxfId="3409" priority="638" stopIfTrue="1">
      <formula>AD35="Land"</formula>
    </cfRule>
  </conditionalFormatting>
  <conditionalFormatting sqref="S34">
    <cfRule type="expression" dxfId="3408" priority="631" stopIfTrue="1">
      <formula>T34="Water"</formula>
    </cfRule>
    <cfRule type="expression" dxfId="3407" priority="632" stopIfTrue="1">
      <formula>S35="Water"</formula>
    </cfRule>
    <cfRule type="expression" dxfId="3406" priority="633" stopIfTrue="1">
      <formula>T34="Land"</formula>
    </cfRule>
    <cfRule type="expression" dxfId="3405" priority="634" stopIfTrue="1">
      <formula>S35="Land"</formula>
    </cfRule>
  </conditionalFormatting>
  <conditionalFormatting sqref="U36:AB43">
    <cfRule type="expression" dxfId="3404" priority="630">
      <formula>U36&lt;&gt;""</formula>
    </cfRule>
  </conditionalFormatting>
  <conditionalFormatting sqref="AH35:AO35">
    <cfRule type="expression" dxfId="3403" priority="629">
      <formula>AH35="City Wall"</formula>
    </cfRule>
  </conditionalFormatting>
  <conditionalFormatting sqref="AH44:AO44">
    <cfRule type="expression" dxfId="3402" priority="628">
      <formula>AH44="City Wall"</formula>
    </cfRule>
  </conditionalFormatting>
  <conditionalFormatting sqref="AG36:AG43">
    <cfRule type="expression" dxfId="3401" priority="627">
      <formula>AG36="City Wall"</formula>
    </cfRule>
  </conditionalFormatting>
  <conditionalFormatting sqref="AP36:AP43">
    <cfRule type="expression" dxfId="3400" priority="626">
      <formula>AP36="City Wall"</formula>
    </cfRule>
  </conditionalFormatting>
  <conditionalFormatting sqref="AG35">
    <cfRule type="expression" dxfId="3399" priority="624">
      <formula>AG36="City Wall"</formula>
    </cfRule>
    <cfRule type="expression" dxfId="3398" priority="625">
      <formula>AH35="City Wall"</formula>
    </cfRule>
  </conditionalFormatting>
  <conditionalFormatting sqref="AP35">
    <cfRule type="expression" dxfId="3397" priority="622">
      <formula>AP36="City Wall"</formula>
    </cfRule>
    <cfRule type="expression" dxfId="3396" priority="623">
      <formula>AH35="City Wall"</formula>
    </cfRule>
  </conditionalFormatting>
  <conditionalFormatting sqref="AP44">
    <cfRule type="expression" dxfId="3395" priority="620">
      <formula>AH44="City Wall"</formula>
    </cfRule>
    <cfRule type="expression" dxfId="3394" priority="621">
      <formula>AP36="City Wall"</formula>
    </cfRule>
  </conditionalFormatting>
  <conditionalFormatting sqref="AG44">
    <cfRule type="expression" dxfId="3393" priority="618">
      <formula>AG36="City Wall"</formula>
    </cfRule>
    <cfRule type="expression" dxfId="3392" priority="619">
      <formula>AH44="City Wall"</formula>
    </cfRule>
  </conditionalFormatting>
  <conditionalFormatting sqref="AG45:AP45">
    <cfRule type="expression" dxfId="3391" priority="616">
      <formula>AG45="Land"</formula>
    </cfRule>
    <cfRule type="expression" dxfId="3390" priority="617">
      <formula>AG45="Water"</formula>
    </cfRule>
  </conditionalFormatting>
  <conditionalFormatting sqref="AQ45">
    <cfRule type="expression" dxfId="3389" priority="612" stopIfTrue="1">
      <formula>AQ35="Water"</formula>
    </cfRule>
    <cfRule type="expression" dxfId="3388" priority="613" stopIfTrue="1">
      <formula>AG45="Water"</formula>
    </cfRule>
    <cfRule type="expression" dxfId="3387" priority="614" stopIfTrue="1">
      <formula>AG45="Land"</formula>
    </cfRule>
    <cfRule type="expression" dxfId="3386" priority="615" stopIfTrue="1">
      <formula>AQ35="Land"</formula>
    </cfRule>
  </conditionalFormatting>
  <conditionalFormatting sqref="AG34:AP34">
    <cfRule type="expression" dxfId="3385" priority="610" stopIfTrue="1">
      <formula>AG34="Water"</formula>
    </cfRule>
    <cfRule type="expression" dxfId="3384" priority="611" stopIfTrue="1">
      <formula>AG34="Land"</formula>
    </cfRule>
  </conditionalFormatting>
  <conditionalFormatting sqref="AF45">
    <cfRule type="expression" dxfId="3383" priority="606" stopIfTrue="1">
      <formula>AF35="Water"</formula>
    </cfRule>
    <cfRule type="expression" dxfId="3382" priority="607" stopIfTrue="1">
      <formula>AG45="Water"</formula>
    </cfRule>
    <cfRule type="expression" dxfId="3381" priority="608" stopIfTrue="1">
      <formula>AG45="Land"</formula>
    </cfRule>
    <cfRule type="expression" dxfId="3380" priority="609" stopIfTrue="1">
      <formula>AF35="Land"</formula>
    </cfRule>
  </conditionalFormatting>
  <conditionalFormatting sqref="AF35:AF44">
    <cfRule type="expression" dxfId="3379" priority="604" stopIfTrue="1">
      <formula>AF35="Water"</formula>
    </cfRule>
    <cfRule type="expression" dxfId="3378" priority="605" stopIfTrue="1">
      <formula>AF35="Land"</formula>
    </cfRule>
  </conditionalFormatting>
  <conditionalFormatting sqref="AQ35:AQ44">
    <cfRule type="expression" dxfId="3377" priority="602" stopIfTrue="1">
      <formula>AQ35="Water"</formula>
    </cfRule>
    <cfRule type="expression" dxfId="3376" priority="603" stopIfTrue="1">
      <formula>AQ35="Land"</formula>
    </cfRule>
  </conditionalFormatting>
  <conditionalFormatting sqref="AQ34">
    <cfRule type="expression" dxfId="3375" priority="598" stopIfTrue="1">
      <formula>AQ35="Water"</formula>
    </cfRule>
    <cfRule type="expression" dxfId="3374" priority="599" stopIfTrue="1">
      <formula>AG34="Water"</formula>
    </cfRule>
    <cfRule type="expression" dxfId="3373" priority="600" stopIfTrue="1">
      <formula>AG34="Land"</formula>
    </cfRule>
    <cfRule type="expression" dxfId="3372" priority="601" stopIfTrue="1">
      <formula>AQ35="Land"</formula>
    </cfRule>
  </conditionalFormatting>
  <conditionalFormatting sqref="AF34">
    <cfRule type="expression" dxfId="3371" priority="594" stopIfTrue="1">
      <formula>AG34="Water"</formula>
    </cfRule>
    <cfRule type="expression" dxfId="3370" priority="595" stopIfTrue="1">
      <formula>AF35="Water"</formula>
    </cfRule>
    <cfRule type="expression" dxfId="3369" priority="596" stopIfTrue="1">
      <formula>AG34="Land"</formula>
    </cfRule>
    <cfRule type="expression" dxfId="3368" priority="597" stopIfTrue="1">
      <formula>AF35="Land"</formula>
    </cfRule>
  </conditionalFormatting>
  <conditionalFormatting sqref="AH36:AO43">
    <cfRule type="expression" dxfId="3367" priority="593">
      <formula>AH36&lt;&gt;""</formula>
    </cfRule>
  </conditionalFormatting>
  <conditionalFormatting sqref="H48:O48">
    <cfRule type="expression" dxfId="3366" priority="592">
      <formula>H48="City Wall"</formula>
    </cfRule>
  </conditionalFormatting>
  <conditionalFormatting sqref="H57:O57">
    <cfRule type="expression" dxfId="3365" priority="591">
      <formula>H57="City Wall"</formula>
    </cfRule>
  </conditionalFormatting>
  <conditionalFormatting sqref="G49:G56">
    <cfRule type="expression" dxfId="3364" priority="590">
      <formula>G49="City Wall"</formula>
    </cfRule>
  </conditionalFormatting>
  <conditionalFormatting sqref="P49:P56">
    <cfRule type="expression" dxfId="3363" priority="589">
      <formula>P49="City Wall"</formula>
    </cfRule>
  </conditionalFormatting>
  <conditionalFormatting sqref="G48">
    <cfRule type="expression" dxfId="3362" priority="587">
      <formula>G49="City Wall"</formula>
    </cfRule>
    <cfRule type="expression" dxfId="3361" priority="588">
      <formula>H48="City Wall"</formula>
    </cfRule>
  </conditionalFormatting>
  <conditionalFormatting sqref="P48">
    <cfRule type="expression" dxfId="3360" priority="585">
      <formula>P49="City Wall"</formula>
    </cfRule>
    <cfRule type="expression" dxfId="3359" priority="586">
      <formula>H48="City Wall"</formula>
    </cfRule>
  </conditionalFormatting>
  <conditionalFormatting sqref="P57">
    <cfRule type="expression" dxfId="3358" priority="583">
      <formula>H57="City Wall"</formula>
    </cfRule>
    <cfRule type="expression" dxfId="3357" priority="584">
      <formula>P49="City Wall"</formula>
    </cfRule>
  </conditionalFormatting>
  <conditionalFormatting sqref="G57">
    <cfRule type="expression" dxfId="3356" priority="581">
      <formula>G49="City Wall"</formula>
    </cfRule>
    <cfRule type="expression" dxfId="3355" priority="582">
      <formula>H57="City Wall"</formula>
    </cfRule>
  </conditionalFormatting>
  <conditionalFormatting sqref="G58:P58">
    <cfRule type="expression" dxfId="3354" priority="579">
      <formula>G58="Land"</formula>
    </cfRule>
    <cfRule type="expression" dxfId="3353" priority="580">
      <formula>G58="Water"</formula>
    </cfRule>
  </conditionalFormatting>
  <conditionalFormatting sqref="Q58">
    <cfRule type="expression" dxfId="3352" priority="575" stopIfTrue="1">
      <formula>Q48="Water"</formula>
    </cfRule>
    <cfRule type="expression" dxfId="3351" priority="576" stopIfTrue="1">
      <formula>G58="Water"</formula>
    </cfRule>
    <cfRule type="expression" dxfId="3350" priority="577" stopIfTrue="1">
      <formula>G58="Land"</formula>
    </cfRule>
    <cfRule type="expression" dxfId="3349" priority="578" stopIfTrue="1">
      <formula>Q48="Land"</formula>
    </cfRule>
  </conditionalFormatting>
  <conditionalFormatting sqref="G47:P47">
    <cfRule type="expression" dxfId="3348" priority="573" stopIfTrue="1">
      <formula>G47="Water"</formula>
    </cfRule>
    <cfRule type="expression" dxfId="3347" priority="574" stopIfTrue="1">
      <formula>G47="Land"</formula>
    </cfRule>
  </conditionalFormatting>
  <conditionalFormatting sqref="F58">
    <cfRule type="expression" dxfId="3346" priority="569" stopIfTrue="1">
      <formula>F48="Water"</formula>
    </cfRule>
    <cfRule type="expression" dxfId="3345" priority="570" stopIfTrue="1">
      <formula>G58="Water"</formula>
    </cfRule>
    <cfRule type="expression" dxfId="3344" priority="571" stopIfTrue="1">
      <formula>G58="Land"</formula>
    </cfRule>
    <cfRule type="expression" dxfId="3343" priority="572" stopIfTrue="1">
      <formula>F48="Land"</formula>
    </cfRule>
  </conditionalFormatting>
  <conditionalFormatting sqref="F48:F57">
    <cfRule type="expression" dxfId="3342" priority="567" stopIfTrue="1">
      <formula>F48="Water"</formula>
    </cfRule>
    <cfRule type="expression" dxfId="3341" priority="568" stopIfTrue="1">
      <formula>F48="Land"</formula>
    </cfRule>
  </conditionalFormatting>
  <conditionalFormatting sqref="Q48:Q57">
    <cfRule type="expression" dxfId="3340" priority="565" stopIfTrue="1">
      <formula>Q48="Water"</formula>
    </cfRule>
    <cfRule type="expression" dxfId="3339" priority="566" stopIfTrue="1">
      <formula>Q48="Land"</formula>
    </cfRule>
  </conditionalFormatting>
  <conditionalFormatting sqref="Q47">
    <cfRule type="expression" dxfId="3338" priority="561" stopIfTrue="1">
      <formula>Q48="Water"</formula>
    </cfRule>
    <cfRule type="expression" dxfId="3337" priority="562" stopIfTrue="1">
      <formula>G47="Water"</formula>
    </cfRule>
    <cfRule type="expression" dxfId="3336" priority="563" stopIfTrue="1">
      <formula>G47="Land"</formula>
    </cfRule>
    <cfRule type="expression" dxfId="3335" priority="564" stopIfTrue="1">
      <formula>Q48="Land"</formula>
    </cfRule>
  </conditionalFormatting>
  <conditionalFormatting sqref="F47">
    <cfRule type="expression" dxfId="3334" priority="557" stopIfTrue="1">
      <formula>G47="Water"</formula>
    </cfRule>
    <cfRule type="expression" dxfId="3333" priority="558" stopIfTrue="1">
      <formula>F48="Water"</formula>
    </cfRule>
    <cfRule type="expression" dxfId="3332" priority="559" stopIfTrue="1">
      <formula>G47="Land"</formula>
    </cfRule>
    <cfRule type="expression" dxfId="3331" priority="560" stopIfTrue="1">
      <formula>F48="Land"</formula>
    </cfRule>
  </conditionalFormatting>
  <conditionalFormatting sqref="H49:O56">
    <cfRule type="expression" dxfId="3330" priority="556">
      <formula>H49&lt;&gt;""</formula>
    </cfRule>
  </conditionalFormatting>
  <conditionalFormatting sqref="U48:AB48">
    <cfRule type="expression" dxfId="3329" priority="555">
      <formula>U48="City Wall"</formula>
    </cfRule>
  </conditionalFormatting>
  <conditionalFormatting sqref="U57:AB57">
    <cfRule type="expression" dxfId="3328" priority="554">
      <formula>U57="City Wall"</formula>
    </cfRule>
  </conditionalFormatting>
  <conditionalFormatting sqref="T49:T56">
    <cfRule type="expression" dxfId="3327" priority="553">
      <formula>T49="City Wall"</formula>
    </cfRule>
  </conditionalFormatting>
  <conditionalFormatting sqref="AC49:AC56">
    <cfRule type="expression" dxfId="3326" priority="552">
      <formula>AC49="City Wall"</formula>
    </cfRule>
  </conditionalFormatting>
  <conditionalFormatting sqref="T48">
    <cfRule type="expression" dxfId="3325" priority="550">
      <formula>T49="City Wall"</formula>
    </cfRule>
    <cfRule type="expression" dxfId="3324" priority="551">
      <formula>U48="City Wall"</formula>
    </cfRule>
  </conditionalFormatting>
  <conditionalFormatting sqref="AC48">
    <cfRule type="expression" dxfId="3323" priority="548">
      <formula>AC49="City Wall"</formula>
    </cfRule>
    <cfRule type="expression" dxfId="3322" priority="549">
      <formula>U48="City Wall"</formula>
    </cfRule>
  </conditionalFormatting>
  <conditionalFormatting sqref="AC57">
    <cfRule type="expression" dxfId="3321" priority="546">
      <formula>U57="City Wall"</formula>
    </cfRule>
    <cfRule type="expression" dxfId="3320" priority="547">
      <formula>AC49="City Wall"</formula>
    </cfRule>
  </conditionalFormatting>
  <conditionalFormatting sqref="T57">
    <cfRule type="expression" dxfId="3319" priority="544">
      <formula>T49="City Wall"</formula>
    </cfRule>
    <cfRule type="expression" dxfId="3318" priority="545">
      <formula>U57="City Wall"</formula>
    </cfRule>
  </conditionalFormatting>
  <conditionalFormatting sqref="T58:AC58">
    <cfRule type="expression" dxfId="3317" priority="542">
      <formula>T58="Land"</formula>
    </cfRule>
    <cfRule type="expression" dxfId="3316" priority="543">
      <formula>T58="Water"</formula>
    </cfRule>
  </conditionalFormatting>
  <conditionalFormatting sqref="AD58">
    <cfRule type="expression" dxfId="3315" priority="538" stopIfTrue="1">
      <formula>AD48="Water"</formula>
    </cfRule>
    <cfRule type="expression" dxfId="3314" priority="539" stopIfTrue="1">
      <formula>T58="Water"</formula>
    </cfRule>
    <cfRule type="expression" dxfId="3313" priority="540" stopIfTrue="1">
      <formula>T58="Land"</formula>
    </cfRule>
    <cfRule type="expression" dxfId="3312" priority="541" stopIfTrue="1">
      <formula>AD48="Land"</formula>
    </cfRule>
  </conditionalFormatting>
  <conditionalFormatting sqref="T47:AC47">
    <cfRule type="expression" dxfId="3311" priority="536" stopIfTrue="1">
      <formula>T47="Water"</formula>
    </cfRule>
    <cfRule type="expression" dxfId="3310" priority="537" stopIfTrue="1">
      <formula>T47="Land"</formula>
    </cfRule>
  </conditionalFormatting>
  <conditionalFormatting sqref="S58">
    <cfRule type="expression" dxfId="3309" priority="532" stopIfTrue="1">
      <formula>S48="Water"</formula>
    </cfRule>
    <cfRule type="expression" dxfId="3308" priority="533" stopIfTrue="1">
      <formula>T58="Water"</formula>
    </cfRule>
    <cfRule type="expression" dxfId="3307" priority="534" stopIfTrue="1">
      <formula>T58="Land"</formula>
    </cfRule>
    <cfRule type="expression" dxfId="3306" priority="535" stopIfTrue="1">
      <formula>S48="Land"</formula>
    </cfRule>
  </conditionalFormatting>
  <conditionalFormatting sqref="S48:S57">
    <cfRule type="expression" dxfId="3305" priority="530" stopIfTrue="1">
      <formula>S48="Water"</formula>
    </cfRule>
    <cfRule type="expression" dxfId="3304" priority="531" stopIfTrue="1">
      <formula>S48="Land"</formula>
    </cfRule>
  </conditionalFormatting>
  <conditionalFormatting sqref="AD48:AD57">
    <cfRule type="expression" dxfId="3303" priority="528" stopIfTrue="1">
      <formula>AD48="Water"</formula>
    </cfRule>
    <cfRule type="expression" dxfId="3302" priority="529" stopIfTrue="1">
      <formula>AD48="Land"</formula>
    </cfRule>
  </conditionalFormatting>
  <conditionalFormatting sqref="AD47">
    <cfRule type="expression" dxfId="3301" priority="524" stopIfTrue="1">
      <formula>AD48="Water"</formula>
    </cfRule>
    <cfRule type="expression" dxfId="3300" priority="525" stopIfTrue="1">
      <formula>T47="Water"</formula>
    </cfRule>
    <cfRule type="expression" dxfId="3299" priority="526" stopIfTrue="1">
      <formula>T47="Land"</formula>
    </cfRule>
    <cfRule type="expression" dxfId="3298" priority="527" stopIfTrue="1">
      <formula>AD48="Land"</formula>
    </cfRule>
  </conditionalFormatting>
  <conditionalFormatting sqref="S47">
    <cfRule type="expression" dxfId="3297" priority="520" stopIfTrue="1">
      <formula>T47="Water"</formula>
    </cfRule>
    <cfRule type="expression" dxfId="3296" priority="521" stopIfTrue="1">
      <formula>S48="Water"</formula>
    </cfRule>
    <cfRule type="expression" dxfId="3295" priority="522" stopIfTrue="1">
      <formula>T47="Land"</formula>
    </cfRule>
    <cfRule type="expression" dxfId="3294" priority="523" stopIfTrue="1">
      <formula>S48="Land"</formula>
    </cfRule>
  </conditionalFormatting>
  <conditionalFormatting sqref="U49:AB56">
    <cfRule type="expression" dxfId="3293" priority="519">
      <formula>U49&lt;&gt;""</formula>
    </cfRule>
  </conditionalFormatting>
  <conditionalFormatting sqref="AH48:AO48">
    <cfRule type="expression" dxfId="3292" priority="518">
      <formula>AH48="City Wall"</formula>
    </cfRule>
  </conditionalFormatting>
  <conditionalFormatting sqref="AH57:AO57">
    <cfRule type="expression" dxfId="3291" priority="517">
      <formula>AH57="City Wall"</formula>
    </cfRule>
  </conditionalFormatting>
  <conditionalFormatting sqref="AG49:AG56">
    <cfRule type="expression" dxfId="3290" priority="516">
      <formula>AG49="City Wall"</formula>
    </cfRule>
  </conditionalFormatting>
  <conditionalFormatting sqref="AP49:AP56">
    <cfRule type="expression" dxfId="3289" priority="515">
      <formula>AP49="City Wall"</formula>
    </cfRule>
  </conditionalFormatting>
  <conditionalFormatting sqref="AG48">
    <cfRule type="expression" dxfId="3288" priority="513">
      <formula>AG49="City Wall"</formula>
    </cfRule>
    <cfRule type="expression" dxfId="3287" priority="514">
      <formula>AH48="City Wall"</formula>
    </cfRule>
  </conditionalFormatting>
  <conditionalFormatting sqref="AP48">
    <cfRule type="expression" dxfId="3286" priority="511">
      <formula>AP49="City Wall"</formula>
    </cfRule>
    <cfRule type="expression" dxfId="3285" priority="512">
      <formula>AH48="City Wall"</formula>
    </cfRule>
  </conditionalFormatting>
  <conditionalFormatting sqref="AP57">
    <cfRule type="expression" dxfId="3284" priority="509">
      <formula>AH57="City Wall"</formula>
    </cfRule>
    <cfRule type="expression" dxfId="3283" priority="510">
      <formula>AP49="City Wall"</formula>
    </cfRule>
  </conditionalFormatting>
  <conditionalFormatting sqref="AG57">
    <cfRule type="expression" dxfId="3282" priority="507">
      <formula>AG49="City Wall"</formula>
    </cfRule>
    <cfRule type="expression" dxfId="3281" priority="508">
      <formula>AH57="City Wall"</formula>
    </cfRule>
  </conditionalFormatting>
  <conditionalFormatting sqref="AG58:AP58">
    <cfRule type="expression" dxfId="3280" priority="505">
      <formula>AG58="Land"</formula>
    </cfRule>
    <cfRule type="expression" dxfId="3279" priority="506">
      <formula>AG58="Water"</formula>
    </cfRule>
  </conditionalFormatting>
  <conditionalFormatting sqref="AQ58">
    <cfRule type="expression" dxfId="3278" priority="501" stopIfTrue="1">
      <formula>AQ48="Water"</formula>
    </cfRule>
    <cfRule type="expression" dxfId="3277" priority="502" stopIfTrue="1">
      <formula>AG58="Water"</formula>
    </cfRule>
    <cfRule type="expression" dxfId="3276" priority="503" stopIfTrue="1">
      <formula>AG58="Land"</formula>
    </cfRule>
    <cfRule type="expression" dxfId="3275" priority="504" stopIfTrue="1">
      <formula>AQ48="Land"</formula>
    </cfRule>
  </conditionalFormatting>
  <conditionalFormatting sqref="AG47:AP47">
    <cfRule type="expression" dxfId="3274" priority="499" stopIfTrue="1">
      <formula>AG47="Water"</formula>
    </cfRule>
    <cfRule type="expression" dxfId="3273" priority="500" stopIfTrue="1">
      <formula>AG47="Land"</formula>
    </cfRule>
  </conditionalFormatting>
  <conditionalFormatting sqref="AF58">
    <cfRule type="expression" dxfId="3272" priority="495" stopIfTrue="1">
      <formula>AF48="Water"</formula>
    </cfRule>
    <cfRule type="expression" dxfId="3271" priority="496" stopIfTrue="1">
      <formula>AG58="Water"</formula>
    </cfRule>
    <cfRule type="expression" dxfId="3270" priority="497" stopIfTrue="1">
      <formula>AG58="Land"</formula>
    </cfRule>
    <cfRule type="expression" dxfId="3269" priority="498" stopIfTrue="1">
      <formula>AF48="Land"</formula>
    </cfRule>
  </conditionalFormatting>
  <conditionalFormatting sqref="AF48:AF57">
    <cfRule type="expression" dxfId="3268" priority="493" stopIfTrue="1">
      <formula>AF48="Water"</formula>
    </cfRule>
    <cfRule type="expression" dxfId="3267" priority="494" stopIfTrue="1">
      <formula>AF48="Land"</formula>
    </cfRule>
  </conditionalFormatting>
  <conditionalFormatting sqref="AQ48:AQ57">
    <cfRule type="expression" dxfId="3266" priority="491" stopIfTrue="1">
      <formula>AQ48="Water"</formula>
    </cfRule>
    <cfRule type="expression" dxfId="3265" priority="492" stopIfTrue="1">
      <formula>AQ48="Land"</formula>
    </cfRule>
  </conditionalFormatting>
  <conditionalFormatting sqref="AQ47">
    <cfRule type="expression" dxfId="3264" priority="487" stopIfTrue="1">
      <formula>AQ48="Water"</formula>
    </cfRule>
    <cfRule type="expression" dxfId="3263" priority="488" stopIfTrue="1">
      <formula>AG47="Water"</formula>
    </cfRule>
    <cfRule type="expression" dxfId="3262" priority="489" stopIfTrue="1">
      <formula>AG47="Land"</formula>
    </cfRule>
    <cfRule type="expression" dxfId="3261" priority="490" stopIfTrue="1">
      <formula>AQ48="Land"</formula>
    </cfRule>
  </conditionalFormatting>
  <conditionalFormatting sqref="AF47">
    <cfRule type="expression" dxfId="3260" priority="483" stopIfTrue="1">
      <formula>AG47="Water"</formula>
    </cfRule>
    <cfRule type="expression" dxfId="3259" priority="484" stopIfTrue="1">
      <formula>AF48="Water"</formula>
    </cfRule>
    <cfRule type="expression" dxfId="3258" priority="485" stopIfTrue="1">
      <formula>AG47="Land"</formula>
    </cfRule>
    <cfRule type="expression" dxfId="3257" priority="486" stopIfTrue="1">
      <formula>AF48="Land"</formula>
    </cfRule>
  </conditionalFormatting>
  <conditionalFormatting sqref="AH49:AO56">
    <cfRule type="expression" dxfId="3256" priority="482">
      <formula>AH49&lt;&gt;""</formula>
    </cfRule>
  </conditionalFormatting>
  <conditionalFormatting sqref="AU9:BB9">
    <cfRule type="expression" dxfId="3255" priority="481">
      <formula>AU9="City Wall"</formula>
    </cfRule>
  </conditionalFormatting>
  <conditionalFormatting sqref="AU18:BB18">
    <cfRule type="expression" dxfId="3254" priority="480">
      <formula>AU18="City Wall"</formula>
    </cfRule>
  </conditionalFormatting>
  <conditionalFormatting sqref="AT10:AT17">
    <cfRule type="expression" dxfId="3253" priority="479">
      <formula>AT10="City Wall"</formula>
    </cfRule>
  </conditionalFormatting>
  <conditionalFormatting sqref="BC10:BC17">
    <cfRule type="expression" dxfId="3252" priority="478">
      <formula>BC10="City Wall"</formula>
    </cfRule>
  </conditionalFormatting>
  <conditionalFormatting sqref="AT9">
    <cfRule type="expression" dxfId="3251" priority="476">
      <formula>AT10="City Wall"</formula>
    </cfRule>
    <cfRule type="expression" dxfId="3250" priority="477">
      <formula>AU9="City Wall"</formula>
    </cfRule>
  </conditionalFormatting>
  <conditionalFormatting sqref="BC9">
    <cfRule type="expression" dxfId="3249" priority="474">
      <formula>BC10="City Wall"</formula>
    </cfRule>
    <cfRule type="expression" dxfId="3248" priority="475">
      <formula>AU9="City Wall"</formula>
    </cfRule>
  </conditionalFormatting>
  <conditionalFormatting sqref="BC18">
    <cfRule type="expression" dxfId="3247" priority="472">
      <formula>AU18="City Wall"</formula>
    </cfRule>
    <cfRule type="expression" dxfId="3246" priority="473">
      <formula>BC10="City Wall"</formula>
    </cfRule>
  </conditionalFormatting>
  <conditionalFormatting sqref="AT18">
    <cfRule type="expression" dxfId="3245" priority="470">
      <formula>AT10="City Wall"</formula>
    </cfRule>
    <cfRule type="expression" dxfId="3244" priority="471">
      <formula>AU18="City Wall"</formula>
    </cfRule>
  </conditionalFormatting>
  <conditionalFormatting sqref="AT19:BC19">
    <cfRule type="expression" dxfId="3243" priority="468">
      <formula>AT19="Land"</formula>
    </cfRule>
    <cfRule type="expression" dxfId="3242" priority="469">
      <formula>AT19="Water"</formula>
    </cfRule>
  </conditionalFormatting>
  <conditionalFormatting sqref="BD19">
    <cfRule type="expression" dxfId="3241" priority="464" stopIfTrue="1">
      <formula>BD9="Water"</formula>
    </cfRule>
    <cfRule type="expression" dxfId="3240" priority="465" stopIfTrue="1">
      <formula>AT19="Water"</formula>
    </cfRule>
    <cfRule type="expression" dxfId="3239" priority="466" stopIfTrue="1">
      <formula>AT19="Land"</formula>
    </cfRule>
    <cfRule type="expression" dxfId="3238" priority="467" stopIfTrue="1">
      <formula>BD9="Land"</formula>
    </cfRule>
  </conditionalFormatting>
  <conditionalFormatting sqref="AT8:BC8">
    <cfRule type="expression" dxfId="3237" priority="462" stopIfTrue="1">
      <formula>AT8="Water"</formula>
    </cfRule>
    <cfRule type="expression" dxfId="3236" priority="463" stopIfTrue="1">
      <formula>AT8="Land"</formula>
    </cfRule>
  </conditionalFormatting>
  <conditionalFormatting sqref="AS19">
    <cfRule type="expression" dxfId="3235" priority="458" stopIfTrue="1">
      <formula>AS9="Water"</formula>
    </cfRule>
    <cfRule type="expression" dxfId="3234" priority="459" stopIfTrue="1">
      <formula>AT19="Water"</formula>
    </cfRule>
    <cfRule type="expression" dxfId="3233" priority="460" stopIfTrue="1">
      <formula>AT19="Land"</formula>
    </cfRule>
    <cfRule type="expression" dxfId="3232" priority="461" stopIfTrue="1">
      <formula>AS9="Land"</formula>
    </cfRule>
  </conditionalFormatting>
  <conditionalFormatting sqref="AS9:AS18">
    <cfRule type="expression" dxfId="3231" priority="456" stopIfTrue="1">
      <formula>AS9="Water"</formula>
    </cfRule>
    <cfRule type="expression" dxfId="3230" priority="457" stopIfTrue="1">
      <formula>AS9="Land"</formula>
    </cfRule>
  </conditionalFormatting>
  <conditionalFormatting sqref="BD9:BD18">
    <cfRule type="expression" dxfId="3229" priority="454" stopIfTrue="1">
      <formula>BD9="Water"</formula>
    </cfRule>
    <cfRule type="expression" dxfId="3228" priority="455" stopIfTrue="1">
      <formula>BD9="Land"</formula>
    </cfRule>
  </conditionalFormatting>
  <conditionalFormatting sqref="BD8">
    <cfRule type="expression" dxfId="3227" priority="450" stopIfTrue="1">
      <formula>BD9="Water"</formula>
    </cfRule>
    <cfRule type="expression" dxfId="3226" priority="451" stopIfTrue="1">
      <formula>AT8="Water"</formula>
    </cfRule>
    <cfRule type="expression" dxfId="3225" priority="452" stopIfTrue="1">
      <formula>AT8="Land"</formula>
    </cfRule>
    <cfRule type="expression" dxfId="3224" priority="453" stopIfTrue="1">
      <formula>BD9="Land"</formula>
    </cfRule>
  </conditionalFormatting>
  <conditionalFormatting sqref="AS8">
    <cfRule type="expression" dxfId="3223" priority="446" stopIfTrue="1">
      <formula>AT8="Water"</formula>
    </cfRule>
    <cfRule type="expression" dxfId="3222" priority="447" stopIfTrue="1">
      <formula>AS9="Water"</formula>
    </cfRule>
    <cfRule type="expression" dxfId="3221" priority="448" stopIfTrue="1">
      <formula>AT8="Land"</formula>
    </cfRule>
    <cfRule type="expression" dxfId="3220" priority="449" stopIfTrue="1">
      <formula>AS9="Land"</formula>
    </cfRule>
  </conditionalFormatting>
  <conditionalFormatting sqref="AU10:BB17">
    <cfRule type="expression" dxfId="3219" priority="445">
      <formula>AU10&lt;&gt;""</formula>
    </cfRule>
  </conditionalFormatting>
  <conditionalFormatting sqref="AU22:BB22">
    <cfRule type="expression" dxfId="3218" priority="444">
      <formula>AU22="City Wall"</formula>
    </cfRule>
  </conditionalFormatting>
  <conditionalFormatting sqref="AU31:BB31">
    <cfRule type="expression" dxfId="3217" priority="443">
      <formula>AU31="City Wall"</formula>
    </cfRule>
  </conditionalFormatting>
  <conditionalFormatting sqref="AT23:AT30">
    <cfRule type="expression" dxfId="3216" priority="442">
      <formula>AT23="City Wall"</formula>
    </cfRule>
  </conditionalFormatting>
  <conditionalFormatting sqref="BC23:BC30">
    <cfRule type="expression" dxfId="3215" priority="441">
      <formula>BC23="City Wall"</formula>
    </cfRule>
  </conditionalFormatting>
  <conditionalFormatting sqref="AT22">
    <cfRule type="expression" dxfId="3214" priority="439">
      <formula>AT23="City Wall"</formula>
    </cfRule>
    <cfRule type="expression" dxfId="3213" priority="440">
      <formula>AU22="City Wall"</formula>
    </cfRule>
  </conditionalFormatting>
  <conditionalFormatting sqref="BC22">
    <cfRule type="expression" dxfId="3212" priority="437">
      <formula>BC23="City Wall"</formula>
    </cfRule>
    <cfRule type="expression" dxfId="3211" priority="438">
      <formula>AU22="City Wall"</formula>
    </cfRule>
  </conditionalFormatting>
  <conditionalFormatting sqref="BC31">
    <cfRule type="expression" dxfId="3210" priority="435">
      <formula>AU31="City Wall"</formula>
    </cfRule>
    <cfRule type="expression" dxfId="3209" priority="436">
      <formula>BC23="City Wall"</formula>
    </cfRule>
  </conditionalFormatting>
  <conditionalFormatting sqref="AT31">
    <cfRule type="expression" dxfId="3208" priority="433">
      <formula>AT23="City Wall"</formula>
    </cfRule>
    <cfRule type="expression" dxfId="3207" priority="434">
      <formula>AU31="City Wall"</formula>
    </cfRule>
  </conditionalFormatting>
  <conditionalFormatting sqref="AT32:BC32">
    <cfRule type="expression" dxfId="3206" priority="431">
      <formula>AT32="Land"</formula>
    </cfRule>
    <cfRule type="expression" dxfId="3205" priority="432">
      <formula>AT32="Water"</formula>
    </cfRule>
  </conditionalFormatting>
  <conditionalFormatting sqref="BD32">
    <cfRule type="expression" dxfId="3204" priority="427" stopIfTrue="1">
      <formula>BD22="Water"</formula>
    </cfRule>
    <cfRule type="expression" dxfId="3203" priority="428" stopIfTrue="1">
      <formula>AT32="Water"</formula>
    </cfRule>
    <cfRule type="expression" dxfId="3202" priority="429" stopIfTrue="1">
      <formula>AT32="Land"</formula>
    </cfRule>
    <cfRule type="expression" dxfId="3201" priority="430" stopIfTrue="1">
      <formula>BD22="Land"</formula>
    </cfRule>
  </conditionalFormatting>
  <conditionalFormatting sqref="AT21:BC21">
    <cfRule type="expression" dxfId="3200" priority="425" stopIfTrue="1">
      <formula>AT21="Water"</formula>
    </cfRule>
    <cfRule type="expression" dxfId="3199" priority="426" stopIfTrue="1">
      <formula>AT21="Land"</formula>
    </cfRule>
  </conditionalFormatting>
  <conditionalFormatting sqref="AS32">
    <cfRule type="expression" dxfId="3198" priority="421" stopIfTrue="1">
      <formula>AS22="Water"</formula>
    </cfRule>
    <cfRule type="expression" dxfId="3197" priority="422" stopIfTrue="1">
      <formula>AT32="Water"</formula>
    </cfRule>
    <cfRule type="expression" dxfId="3196" priority="423" stopIfTrue="1">
      <formula>AT32="Land"</formula>
    </cfRule>
    <cfRule type="expression" dxfId="3195" priority="424" stopIfTrue="1">
      <formula>AS22="Land"</formula>
    </cfRule>
  </conditionalFormatting>
  <conditionalFormatting sqref="AS22:AS31">
    <cfRule type="expression" dxfId="3194" priority="419" stopIfTrue="1">
      <formula>AS22="Water"</formula>
    </cfRule>
    <cfRule type="expression" dxfId="3193" priority="420" stopIfTrue="1">
      <formula>AS22="Land"</formula>
    </cfRule>
  </conditionalFormatting>
  <conditionalFormatting sqref="BD22:BD31">
    <cfRule type="expression" dxfId="3192" priority="417" stopIfTrue="1">
      <formula>BD22="Water"</formula>
    </cfRule>
    <cfRule type="expression" dxfId="3191" priority="418" stopIfTrue="1">
      <formula>BD22="Land"</formula>
    </cfRule>
  </conditionalFormatting>
  <conditionalFormatting sqref="BD21">
    <cfRule type="expression" dxfId="3190" priority="413" stopIfTrue="1">
      <formula>BD22="Water"</formula>
    </cfRule>
    <cfRule type="expression" dxfId="3189" priority="414" stopIfTrue="1">
      <formula>AT21="Water"</formula>
    </cfRule>
    <cfRule type="expression" dxfId="3188" priority="415" stopIfTrue="1">
      <formula>AT21="Land"</formula>
    </cfRule>
    <cfRule type="expression" dxfId="3187" priority="416" stopIfTrue="1">
      <formula>BD22="Land"</formula>
    </cfRule>
  </conditionalFormatting>
  <conditionalFormatting sqref="AS21">
    <cfRule type="expression" dxfId="3186" priority="409" stopIfTrue="1">
      <formula>AT21="Water"</formula>
    </cfRule>
    <cfRule type="expression" dxfId="3185" priority="410" stopIfTrue="1">
      <formula>AS22="Water"</formula>
    </cfRule>
    <cfRule type="expression" dxfId="3184" priority="411" stopIfTrue="1">
      <formula>AT21="Land"</formula>
    </cfRule>
    <cfRule type="expression" dxfId="3183" priority="412" stopIfTrue="1">
      <formula>AS22="Land"</formula>
    </cfRule>
  </conditionalFormatting>
  <conditionalFormatting sqref="AU23:BB30">
    <cfRule type="expression" dxfId="3182" priority="408">
      <formula>AU23&lt;&gt;""</formula>
    </cfRule>
  </conditionalFormatting>
  <conditionalFormatting sqref="AU35:BB35">
    <cfRule type="expression" dxfId="3181" priority="407">
      <formula>AU35="City Wall"</formula>
    </cfRule>
  </conditionalFormatting>
  <conditionalFormatting sqref="AU44:BB44">
    <cfRule type="expression" dxfId="3180" priority="406">
      <formula>AU44="City Wall"</formula>
    </cfRule>
  </conditionalFormatting>
  <conditionalFormatting sqref="AT36:AT43">
    <cfRule type="expression" dxfId="3179" priority="405">
      <formula>AT36="City Wall"</formula>
    </cfRule>
  </conditionalFormatting>
  <conditionalFormatting sqref="BC36:BC43">
    <cfRule type="expression" dxfId="3178" priority="404">
      <formula>BC36="City Wall"</formula>
    </cfRule>
  </conditionalFormatting>
  <conditionalFormatting sqref="AT35">
    <cfRule type="expression" dxfId="3177" priority="402">
      <formula>AT36="City Wall"</formula>
    </cfRule>
    <cfRule type="expression" dxfId="3176" priority="403">
      <formula>AU35="City Wall"</formula>
    </cfRule>
  </conditionalFormatting>
  <conditionalFormatting sqref="BC35">
    <cfRule type="expression" dxfId="3175" priority="400">
      <formula>BC36="City Wall"</formula>
    </cfRule>
    <cfRule type="expression" dxfId="3174" priority="401">
      <formula>AU35="City Wall"</formula>
    </cfRule>
  </conditionalFormatting>
  <conditionalFormatting sqref="BC44">
    <cfRule type="expression" dxfId="3173" priority="398">
      <formula>AU44="City Wall"</formula>
    </cfRule>
    <cfRule type="expression" dxfId="3172" priority="399">
      <formula>BC36="City Wall"</formula>
    </cfRule>
  </conditionalFormatting>
  <conditionalFormatting sqref="AT44">
    <cfRule type="expression" dxfId="3171" priority="396">
      <formula>AT36="City Wall"</formula>
    </cfRule>
    <cfRule type="expression" dxfId="3170" priority="397">
      <formula>AU44="City Wall"</formula>
    </cfRule>
  </conditionalFormatting>
  <conditionalFormatting sqref="AT45:BC45">
    <cfRule type="expression" dxfId="3169" priority="394">
      <formula>AT45="Land"</formula>
    </cfRule>
    <cfRule type="expression" dxfId="3168" priority="395">
      <formula>AT45="Water"</formula>
    </cfRule>
  </conditionalFormatting>
  <conditionalFormatting sqref="BD45">
    <cfRule type="expression" dxfId="3167" priority="390" stopIfTrue="1">
      <formula>BD35="Water"</formula>
    </cfRule>
    <cfRule type="expression" dxfId="3166" priority="391" stopIfTrue="1">
      <formula>AT45="Water"</formula>
    </cfRule>
    <cfRule type="expression" dxfId="3165" priority="392" stopIfTrue="1">
      <formula>AT45="Land"</formula>
    </cfRule>
    <cfRule type="expression" dxfId="3164" priority="393" stopIfTrue="1">
      <formula>BD35="Land"</formula>
    </cfRule>
  </conditionalFormatting>
  <conditionalFormatting sqref="AT34:BC34">
    <cfRule type="expression" dxfId="3163" priority="388" stopIfTrue="1">
      <formula>AT34="Water"</formula>
    </cfRule>
    <cfRule type="expression" dxfId="3162" priority="389" stopIfTrue="1">
      <formula>AT34="Land"</formula>
    </cfRule>
  </conditionalFormatting>
  <conditionalFormatting sqref="AS45">
    <cfRule type="expression" dxfId="3161" priority="384" stopIfTrue="1">
      <formula>AS35="Water"</formula>
    </cfRule>
    <cfRule type="expression" dxfId="3160" priority="385" stopIfTrue="1">
      <formula>AT45="Water"</formula>
    </cfRule>
    <cfRule type="expression" dxfId="3159" priority="386" stopIfTrue="1">
      <formula>AT45="Land"</formula>
    </cfRule>
    <cfRule type="expression" dxfId="3158" priority="387" stopIfTrue="1">
      <formula>AS35="Land"</formula>
    </cfRule>
  </conditionalFormatting>
  <conditionalFormatting sqref="AS35:AS44">
    <cfRule type="expression" dxfId="3157" priority="382" stopIfTrue="1">
      <formula>AS35="Water"</formula>
    </cfRule>
    <cfRule type="expression" dxfId="3156" priority="383" stopIfTrue="1">
      <formula>AS35="Land"</formula>
    </cfRule>
  </conditionalFormatting>
  <conditionalFormatting sqref="BD35:BD44">
    <cfRule type="expression" dxfId="3155" priority="380" stopIfTrue="1">
      <formula>BD35="Water"</formula>
    </cfRule>
    <cfRule type="expression" dxfId="3154" priority="381" stopIfTrue="1">
      <formula>BD35="Land"</formula>
    </cfRule>
  </conditionalFormatting>
  <conditionalFormatting sqref="BD34">
    <cfRule type="expression" dxfId="3153" priority="376" stopIfTrue="1">
      <formula>BD35="Water"</formula>
    </cfRule>
    <cfRule type="expression" dxfId="3152" priority="377" stopIfTrue="1">
      <formula>AT34="Water"</formula>
    </cfRule>
    <cfRule type="expression" dxfId="3151" priority="378" stopIfTrue="1">
      <formula>AT34="Land"</formula>
    </cfRule>
    <cfRule type="expression" dxfId="3150" priority="379" stopIfTrue="1">
      <formula>BD35="Land"</formula>
    </cfRule>
  </conditionalFormatting>
  <conditionalFormatting sqref="AS34">
    <cfRule type="expression" dxfId="3149" priority="372" stopIfTrue="1">
      <formula>AT34="Water"</formula>
    </cfRule>
    <cfRule type="expression" dxfId="3148" priority="373" stopIfTrue="1">
      <formula>AS35="Water"</formula>
    </cfRule>
    <cfRule type="expression" dxfId="3147" priority="374" stopIfTrue="1">
      <formula>AT34="Land"</formula>
    </cfRule>
    <cfRule type="expression" dxfId="3146" priority="375" stopIfTrue="1">
      <formula>AS35="Land"</formula>
    </cfRule>
  </conditionalFormatting>
  <conditionalFormatting sqref="AU36:BB43">
    <cfRule type="expression" dxfId="3145" priority="371">
      <formula>AU36&lt;&gt;""</formula>
    </cfRule>
  </conditionalFormatting>
  <conditionalFormatting sqref="AU48:BB48">
    <cfRule type="expression" dxfId="3144" priority="370">
      <formula>AU48="City Wall"</formula>
    </cfRule>
  </conditionalFormatting>
  <conditionalFormatting sqref="AU57:BB57">
    <cfRule type="expression" dxfId="3143" priority="369">
      <formula>AU57="City Wall"</formula>
    </cfRule>
  </conditionalFormatting>
  <conditionalFormatting sqref="AT49:AT56">
    <cfRule type="expression" dxfId="3142" priority="368">
      <formula>AT49="City Wall"</formula>
    </cfRule>
  </conditionalFormatting>
  <conditionalFormatting sqref="BC49:BC56">
    <cfRule type="expression" dxfId="3141" priority="367">
      <formula>BC49="City Wall"</formula>
    </cfRule>
  </conditionalFormatting>
  <conditionalFormatting sqref="AT48">
    <cfRule type="expression" dxfId="3140" priority="365">
      <formula>AT49="City Wall"</formula>
    </cfRule>
    <cfRule type="expression" dxfId="3139" priority="366">
      <formula>AU48="City Wall"</formula>
    </cfRule>
  </conditionalFormatting>
  <conditionalFormatting sqref="BC48">
    <cfRule type="expression" dxfId="3138" priority="363">
      <formula>BC49="City Wall"</formula>
    </cfRule>
    <cfRule type="expression" dxfId="3137" priority="364">
      <formula>AU48="City Wall"</formula>
    </cfRule>
  </conditionalFormatting>
  <conditionalFormatting sqref="BC57">
    <cfRule type="expression" dxfId="3136" priority="361">
      <formula>AU57="City Wall"</formula>
    </cfRule>
    <cfRule type="expression" dxfId="3135" priority="362">
      <formula>BC49="City Wall"</formula>
    </cfRule>
  </conditionalFormatting>
  <conditionalFormatting sqref="AT57">
    <cfRule type="expression" dxfId="3134" priority="359">
      <formula>AT49="City Wall"</formula>
    </cfRule>
    <cfRule type="expression" dxfId="3133" priority="360">
      <formula>AU57="City Wall"</formula>
    </cfRule>
  </conditionalFormatting>
  <conditionalFormatting sqref="AT58:BC58">
    <cfRule type="expression" dxfId="3132" priority="357">
      <formula>AT58="Land"</formula>
    </cfRule>
    <cfRule type="expression" dxfId="3131" priority="358">
      <formula>AT58="Water"</formula>
    </cfRule>
  </conditionalFormatting>
  <conditionalFormatting sqref="BD58">
    <cfRule type="expression" dxfId="3130" priority="353" stopIfTrue="1">
      <formula>BD48="Water"</formula>
    </cfRule>
    <cfRule type="expression" dxfId="3129" priority="354" stopIfTrue="1">
      <formula>AT58="Water"</formula>
    </cfRule>
    <cfRule type="expression" dxfId="3128" priority="355" stopIfTrue="1">
      <formula>AT58="Land"</formula>
    </cfRule>
    <cfRule type="expression" dxfId="3127" priority="356" stopIfTrue="1">
      <formula>BD48="Land"</formula>
    </cfRule>
  </conditionalFormatting>
  <conditionalFormatting sqref="AT47:BC47">
    <cfRule type="expression" dxfId="3126" priority="351" stopIfTrue="1">
      <formula>AT47="Water"</formula>
    </cfRule>
    <cfRule type="expression" dxfId="3125" priority="352" stopIfTrue="1">
      <formula>AT47="Land"</formula>
    </cfRule>
  </conditionalFormatting>
  <conditionalFormatting sqref="AS58">
    <cfRule type="expression" dxfId="3124" priority="347" stopIfTrue="1">
      <formula>AS48="Water"</formula>
    </cfRule>
    <cfRule type="expression" dxfId="3123" priority="348" stopIfTrue="1">
      <formula>AT58="Water"</formula>
    </cfRule>
    <cfRule type="expression" dxfId="3122" priority="349" stopIfTrue="1">
      <formula>AT58="Land"</formula>
    </cfRule>
    <cfRule type="expression" dxfId="3121" priority="350" stopIfTrue="1">
      <formula>AS48="Land"</formula>
    </cfRule>
  </conditionalFormatting>
  <conditionalFormatting sqref="AS48:AS57">
    <cfRule type="expression" dxfId="3120" priority="345" stopIfTrue="1">
      <formula>AS48="Water"</formula>
    </cfRule>
    <cfRule type="expression" dxfId="3119" priority="346" stopIfTrue="1">
      <formula>AS48="Land"</formula>
    </cfRule>
  </conditionalFormatting>
  <conditionalFormatting sqref="BD48:BD57">
    <cfRule type="expression" dxfId="3118" priority="343" stopIfTrue="1">
      <formula>BD48="Water"</formula>
    </cfRule>
    <cfRule type="expression" dxfId="3117" priority="344" stopIfTrue="1">
      <formula>BD48="Land"</formula>
    </cfRule>
  </conditionalFormatting>
  <conditionalFormatting sqref="BD47">
    <cfRule type="expression" dxfId="3116" priority="339" stopIfTrue="1">
      <formula>BD48="Water"</formula>
    </cfRule>
    <cfRule type="expression" dxfId="3115" priority="340" stopIfTrue="1">
      <formula>AT47="Water"</formula>
    </cfRule>
    <cfRule type="expression" dxfId="3114" priority="341" stopIfTrue="1">
      <formula>AT47="Land"</formula>
    </cfRule>
    <cfRule type="expression" dxfId="3113" priority="342" stopIfTrue="1">
      <formula>BD48="Land"</formula>
    </cfRule>
  </conditionalFormatting>
  <conditionalFormatting sqref="AS47">
    <cfRule type="expression" dxfId="3112" priority="335" stopIfTrue="1">
      <formula>AT47="Water"</formula>
    </cfRule>
    <cfRule type="expression" dxfId="3111" priority="336" stopIfTrue="1">
      <formula>AS48="Water"</formula>
    </cfRule>
    <cfRule type="expression" dxfId="3110" priority="337" stopIfTrue="1">
      <formula>AT47="Land"</formula>
    </cfRule>
    <cfRule type="expression" dxfId="3109" priority="338" stopIfTrue="1">
      <formula>AS48="Land"</formula>
    </cfRule>
  </conditionalFormatting>
  <conditionalFormatting sqref="AU49:BB56">
    <cfRule type="expression" dxfId="3108" priority="334">
      <formula>AU49&lt;&gt;""</formula>
    </cfRule>
  </conditionalFormatting>
  <conditionalFormatting sqref="H61:O61">
    <cfRule type="expression" dxfId="3107" priority="333">
      <formula>H61="City Wall"</formula>
    </cfRule>
  </conditionalFormatting>
  <conditionalFormatting sqref="H70:O70">
    <cfRule type="expression" dxfId="3106" priority="332">
      <formula>H70="City Wall"</formula>
    </cfRule>
  </conditionalFormatting>
  <conditionalFormatting sqref="G62:G69">
    <cfRule type="expression" dxfId="3105" priority="331">
      <formula>G62="City Wall"</formula>
    </cfRule>
  </conditionalFormatting>
  <conditionalFormatting sqref="P62:P69">
    <cfRule type="expression" dxfId="3104" priority="330">
      <formula>P62="City Wall"</formula>
    </cfRule>
  </conditionalFormatting>
  <conditionalFormatting sqref="G61">
    <cfRule type="expression" dxfId="3103" priority="328">
      <formula>G62="City Wall"</formula>
    </cfRule>
    <cfRule type="expression" dxfId="3102" priority="329">
      <formula>H61="City Wall"</formula>
    </cfRule>
  </conditionalFormatting>
  <conditionalFormatting sqref="P61">
    <cfRule type="expression" dxfId="3101" priority="326">
      <formula>P62="City Wall"</formula>
    </cfRule>
    <cfRule type="expression" dxfId="3100" priority="327">
      <formula>H61="City Wall"</formula>
    </cfRule>
  </conditionalFormatting>
  <conditionalFormatting sqref="P70">
    <cfRule type="expression" dxfId="3099" priority="324">
      <formula>H70="City Wall"</formula>
    </cfRule>
    <cfRule type="expression" dxfId="3098" priority="325">
      <formula>P62="City Wall"</formula>
    </cfRule>
  </conditionalFormatting>
  <conditionalFormatting sqref="G70">
    <cfRule type="expression" dxfId="3097" priority="322">
      <formula>G62="City Wall"</formula>
    </cfRule>
    <cfRule type="expression" dxfId="3096" priority="323">
      <formula>H70="City Wall"</formula>
    </cfRule>
  </conditionalFormatting>
  <conditionalFormatting sqref="G71:P71">
    <cfRule type="expression" dxfId="3095" priority="320">
      <formula>G71="Land"</formula>
    </cfRule>
    <cfRule type="expression" dxfId="3094" priority="321">
      <formula>G71="Water"</formula>
    </cfRule>
  </conditionalFormatting>
  <conditionalFormatting sqref="Q71">
    <cfRule type="expression" dxfId="3093" priority="316" stopIfTrue="1">
      <formula>Q61="Water"</formula>
    </cfRule>
    <cfRule type="expression" dxfId="3092" priority="317" stopIfTrue="1">
      <formula>G71="Water"</formula>
    </cfRule>
    <cfRule type="expression" dxfId="3091" priority="318" stopIfTrue="1">
      <formula>G71="Land"</formula>
    </cfRule>
    <cfRule type="expression" dxfId="3090" priority="319" stopIfTrue="1">
      <formula>Q61="Land"</formula>
    </cfRule>
  </conditionalFormatting>
  <conditionalFormatting sqref="G60:P60">
    <cfRule type="expression" dxfId="3089" priority="314" stopIfTrue="1">
      <formula>G60="Water"</formula>
    </cfRule>
    <cfRule type="expression" dxfId="3088" priority="315" stopIfTrue="1">
      <formula>G60="Land"</formula>
    </cfRule>
  </conditionalFormatting>
  <conditionalFormatting sqref="F71">
    <cfRule type="expression" dxfId="3087" priority="310" stopIfTrue="1">
      <formula>F61="Water"</formula>
    </cfRule>
    <cfRule type="expression" dxfId="3086" priority="311" stopIfTrue="1">
      <formula>G71="Water"</formula>
    </cfRule>
    <cfRule type="expression" dxfId="3085" priority="312" stopIfTrue="1">
      <formula>G71="Land"</formula>
    </cfRule>
    <cfRule type="expression" dxfId="3084" priority="313" stopIfTrue="1">
      <formula>F61="Land"</formula>
    </cfRule>
  </conditionalFormatting>
  <conditionalFormatting sqref="F61:F70">
    <cfRule type="expression" dxfId="3083" priority="308" stopIfTrue="1">
      <formula>F61="Water"</formula>
    </cfRule>
    <cfRule type="expression" dxfId="3082" priority="309" stopIfTrue="1">
      <formula>F61="Land"</formula>
    </cfRule>
  </conditionalFormatting>
  <conditionalFormatting sqref="Q61:Q70">
    <cfRule type="expression" dxfId="3081" priority="306" stopIfTrue="1">
      <formula>Q61="Water"</formula>
    </cfRule>
    <cfRule type="expression" dxfId="3080" priority="307" stopIfTrue="1">
      <formula>Q61="Land"</formula>
    </cfRule>
  </conditionalFormatting>
  <conditionalFormatting sqref="Q60">
    <cfRule type="expression" dxfId="3079" priority="302" stopIfTrue="1">
      <formula>Q61="Water"</formula>
    </cfRule>
    <cfRule type="expression" dxfId="3078" priority="303" stopIfTrue="1">
      <formula>G60="Water"</formula>
    </cfRule>
    <cfRule type="expression" dxfId="3077" priority="304" stopIfTrue="1">
      <formula>G60="Land"</formula>
    </cfRule>
    <cfRule type="expression" dxfId="3076" priority="305" stopIfTrue="1">
      <formula>Q61="Land"</formula>
    </cfRule>
  </conditionalFormatting>
  <conditionalFormatting sqref="F60">
    <cfRule type="expression" dxfId="3075" priority="298" stopIfTrue="1">
      <formula>G60="Water"</formula>
    </cfRule>
    <cfRule type="expression" dxfId="3074" priority="299" stopIfTrue="1">
      <formula>F61="Water"</formula>
    </cfRule>
    <cfRule type="expression" dxfId="3073" priority="300" stopIfTrue="1">
      <formula>G60="Land"</formula>
    </cfRule>
    <cfRule type="expression" dxfId="3072" priority="301" stopIfTrue="1">
      <formula>F61="Land"</formula>
    </cfRule>
  </conditionalFormatting>
  <conditionalFormatting sqref="H62:O69">
    <cfRule type="expression" dxfId="3071" priority="297">
      <formula>H62&lt;&gt;""</formula>
    </cfRule>
  </conditionalFormatting>
  <conditionalFormatting sqref="U61:AB61">
    <cfRule type="expression" dxfId="3070" priority="296">
      <formula>U61="City Wall"</formula>
    </cfRule>
  </conditionalFormatting>
  <conditionalFormatting sqref="U70:AB70">
    <cfRule type="expression" dxfId="3069" priority="295">
      <formula>U70="City Wall"</formula>
    </cfRule>
  </conditionalFormatting>
  <conditionalFormatting sqref="T62:T69">
    <cfRule type="expression" dxfId="3068" priority="294">
      <formula>T62="City Wall"</formula>
    </cfRule>
  </conditionalFormatting>
  <conditionalFormatting sqref="AC62:AC69">
    <cfRule type="expression" dxfId="3067" priority="293">
      <formula>AC62="City Wall"</formula>
    </cfRule>
  </conditionalFormatting>
  <conditionalFormatting sqref="T61">
    <cfRule type="expression" dxfId="3066" priority="291">
      <formula>T62="City Wall"</formula>
    </cfRule>
    <cfRule type="expression" dxfId="3065" priority="292">
      <formula>U61="City Wall"</formula>
    </cfRule>
  </conditionalFormatting>
  <conditionalFormatting sqref="AC61">
    <cfRule type="expression" dxfId="3064" priority="289">
      <formula>AC62="City Wall"</formula>
    </cfRule>
    <cfRule type="expression" dxfId="3063" priority="290">
      <formula>U61="City Wall"</formula>
    </cfRule>
  </conditionalFormatting>
  <conditionalFormatting sqref="AC70">
    <cfRule type="expression" dxfId="3062" priority="287">
      <formula>U70="City Wall"</formula>
    </cfRule>
    <cfRule type="expression" dxfId="3061" priority="288">
      <formula>AC62="City Wall"</formula>
    </cfRule>
  </conditionalFormatting>
  <conditionalFormatting sqref="T70">
    <cfRule type="expression" dxfId="3060" priority="285">
      <formula>T62="City Wall"</formula>
    </cfRule>
    <cfRule type="expression" dxfId="3059" priority="286">
      <formula>U70="City Wall"</formula>
    </cfRule>
  </conditionalFormatting>
  <conditionalFormatting sqref="T71:AC71">
    <cfRule type="expression" dxfId="3058" priority="283">
      <formula>T71="Land"</formula>
    </cfRule>
    <cfRule type="expression" dxfId="3057" priority="284">
      <formula>T71="Water"</formula>
    </cfRule>
  </conditionalFormatting>
  <conditionalFormatting sqref="AD71">
    <cfRule type="expression" dxfId="3056" priority="279" stopIfTrue="1">
      <formula>AD61="Water"</formula>
    </cfRule>
    <cfRule type="expression" dxfId="3055" priority="280" stopIfTrue="1">
      <formula>T71="Water"</formula>
    </cfRule>
    <cfRule type="expression" dxfId="3054" priority="281" stopIfTrue="1">
      <formula>T71="Land"</formula>
    </cfRule>
    <cfRule type="expression" dxfId="3053" priority="282" stopIfTrue="1">
      <formula>AD61="Land"</formula>
    </cfRule>
  </conditionalFormatting>
  <conditionalFormatting sqref="T60:AC60">
    <cfRule type="expression" dxfId="3052" priority="277" stopIfTrue="1">
      <formula>T60="Water"</formula>
    </cfRule>
    <cfRule type="expression" dxfId="3051" priority="278" stopIfTrue="1">
      <formula>T60="Land"</formula>
    </cfRule>
  </conditionalFormatting>
  <conditionalFormatting sqref="S71">
    <cfRule type="expression" dxfId="3050" priority="273" stopIfTrue="1">
      <formula>S61="Water"</formula>
    </cfRule>
    <cfRule type="expression" dxfId="3049" priority="274" stopIfTrue="1">
      <formula>T71="Water"</formula>
    </cfRule>
    <cfRule type="expression" dxfId="3048" priority="275" stopIfTrue="1">
      <formula>T71="Land"</formula>
    </cfRule>
    <cfRule type="expression" dxfId="3047" priority="276" stopIfTrue="1">
      <formula>S61="Land"</formula>
    </cfRule>
  </conditionalFormatting>
  <conditionalFormatting sqref="S61:S70">
    <cfRule type="expression" dxfId="3046" priority="271" stopIfTrue="1">
      <formula>S61="Water"</formula>
    </cfRule>
    <cfRule type="expression" dxfId="3045" priority="272" stopIfTrue="1">
      <formula>S61="Land"</formula>
    </cfRule>
  </conditionalFormatting>
  <conditionalFormatting sqref="AD61:AD70">
    <cfRule type="expression" dxfId="3044" priority="269" stopIfTrue="1">
      <formula>AD61="Water"</formula>
    </cfRule>
    <cfRule type="expression" dxfId="3043" priority="270" stopIfTrue="1">
      <formula>AD61="Land"</formula>
    </cfRule>
  </conditionalFormatting>
  <conditionalFormatting sqref="AD60">
    <cfRule type="expression" dxfId="3042" priority="265" stopIfTrue="1">
      <formula>AD61="Water"</formula>
    </cfRule>
    <cfRule type="expression" dxfId="3041" priority="266" stopIfTrue="1">
      <formula>T60="Water"</formula>
    </cfRule>
    <cfRule type="expression" dxfId="3040" priority="267" stopIfTrue="1">
      <formula>T60="Land"</formula>
    </cfRule>
    <cfRule type="expression" dxfId="3039" priority="268" stopIfTrue="1">
      <formula>AD61="Land"</formula>
    </cfRule>
  </conditionalFormatting>
  <conditionalFormatting sqref="S60">
    <cfRule type="expression" dxfId="3038" priority="261" stopIfTrue="1">
      <formula>T60="Water"</formula>
    </cfRule>
    <cfRule type="expression" dxfId="3037" priority="262" stopIfTrue="1">
      <formula>S61="Water"</formula>
    </cfRule>
    <cfRule type="expression" dxfId="3036" priority="263" stopIfTrue="1">
      <formula>T60="Land"</formula>
    </cfRule>
    <cfRule type="expression" dxfId="3035" priority="264" stopIfTrue="1">
      <formula>S61="Land"</formula>
    </cfRule>
  </conditionalFormatting>
  <conditionalFormatting sqref="U62:AB69">
    <cfRule type="expression" dxfId="3034" priority="260">
      <formula>U62&lt;&gt;""</formula>
    </cfRule>
  </conditionalFormatting>
  <conditionalFormatting sqref="AH61:AO61">
    <cfRule type="expression" dxfId="3033" priority="259">
      <formula>AH61="City Wall"</formula>
    </cfRule>
  </conditionalFormatting>
  <conditionalFormatting sqref="AH70:AO70">
    <cfRule type="expression" dxfId="3032" priority="258">
      <formula>AH70="City Wall"</formula>
    </cfRule>
  </conditionalFormatting>
  <conditionalFormatting sqref="AG62:AG69">
    <cfRule type="expression" dxfId="3031" priority="257">
      <formula>AG62="City Wall"</formula>
    </cfRule>
  </conditionalFormatting>
  <conditionalFormatting sqref="AP62:AP69">
    <cfRule type="expression" dxfId="3030" priority="256">
      <formula>AP62="City Wall"</formula>
    </cfRule>
  </conditionalFormatting>
  <conditionalFormatting sqref="AG61">
    <cfRule type="expression" dxfId="3029" priority="254">
      <formula>AG62="City Wall"</formula>
    </cfRule>
    <cfRule type="expression" dxfId="3028" priority="255">
      <formula>AH61="City Wall"</formula>
    </cfRule>
  </conditionalFormatting>
  <conditionalFormatting sqref="AP61">
    <cfRule type="expression" dxfId="3027" priority="252">
      <formula>AP62="City Wall"</formula>
    </cfRule>
    <cfRule type="expression" dxfId="3026" priority="253">
      <formula>AH61="City Wall"</formula>
    </cfRule>
  </conditionalFormatting>
  <conditionalFormatting sqref="AP70">
    <cfRule type="expression" dxfId="3025" priority="250">
      <formula>AH70="City Wall"</formula>
    </cfRule>
    <cfRule type="expression" dxfId="3024" priority="251">
      <formula>AP62="City Wall"</formula>
    </cfRule>
  </conditionalFormatting>
  <conditionalFormatting sqref="AG70">
    <cfRule type="expression" dxfId="3023" priority="248">
      <formula>AG62="City Wall"</formula>
    </cfRule>
    <cfRule type="expression" dxfId="3022" priority="249">
      <formula>AH70="City Wall"</formula>
    </cfRule>
  </conditionalFormatting>
  <conditionalFormatting sqref="AG71:AP71">
    <cfRule type="expression" dxfId="3021" priority="246">
      <formula>AG71="Land"</formula>
    </cfRule>
    <cfRule type="expression" dxfId="3020" priority="247">
      <formula>AG71="Water"</formula>
    </cfRule>
  </conditionalFormatting>
  <conditionalFormatting sqref="AQ71">
    <cfRule type="expression" dxfId="3019" priority="242" stopIfTrue="1">
      <formula>AQ61="Water"</formula>
    </cfRule>
    <cfRule type="expression" dxfId="3018" priority="243" stopIfTrue="1">
      <formula>AG71="Water"</formula>
    </cfRule>
    <cfRule type="expression" dxfId="3017" priority="244" stopIfTrue="1">
      <formula>AG71="Land"</formula>
    </cfRule>
    <cfRule type="expression" dxfId="3016" priority="245" stopIfTrue="1">
      <formula>AQ61="Land"</formula>
    </cfRule>
  </conditionalFormatting>
  <conditionalFormatting sqref="AG60:AP60">
    <cfRule type="expression" dxfId="3015" priority="240" stopIfTrue="1">
      <formula>AG60="Water"</formula>
    </cfRule>
    <cfRule type="expression" dxfId="3014" priority="241" stopIfTrue="1">
      <formula>AG60="Land"</formula>
    </cfRule>
  </conditionalFormatting>
  <conditionalFormatting sqref="AF71">
    <cfRule type="expression" dxfId="3013" priority="236" stopIfTrue="1">
      <formula>AF61="Water"</formula>
    </cfRule>
    <cfRule type="expression" dxfId="3012" priority="237" stopIfTrue="1">
      <formula>AG71="Water"</formula>
    </cfRule>
    <cfRule type="expression" dxfId="3011" priority="238" stopIfTrue="1">
      <formula>AG71="Land"</formula>
    </cfRule>
    <cfRule type="expression" dxfId="3010" priority="239" stopIfTrue="1">
      <formula>AF61="Land"</formula>
    </cfRule>
  </conditionalFormatting>
  <conditionalFormatting sqref="AF61:AF70">
    <cfRule type="expression" dxfId="3009" priority="234" stopIfTrue="1">
      <formula>AF61="Water"</formula>
    </cfRule>
    <cfRule type="expression" dxfId="3008" priority="235" stopIfTrue="1">
      <formula>AF61="Land"</formula>
    </cfRule>
  </conditionalFormatting>
  <conditionalFormatting sqref="AQ61:AQ70">
    <cfRule type="expression" dxfId="3007" priority="232" stopIfTrue="1">
      <formula>AQ61="Water"</formula>
    </cfRule>
    <cfRule type="expression" dxfId="3006" priority="233" stopIfTrue="1">
      <formula>AQ61="Land"</formula>
    </cfRule>
  </conditionalFormatting>
  <conditionalFormatting sqref="AQ60">
    <cfRule type="expression" dxfId="3005" priority="228" stopIfTrue="1">
      <formula>AQ61="Water"</formula>
    </cfRule>
    <cfRule type="expression" dxfId="3004" priority="229" stopIfTrue="1">
      <formula>AG60="Water"</formula>
    </cfRule>
    <cfRule type="expression" dxfId="3003" priority="230" stopIfTrue="1">
      <formula>AG60="Land"</formula>
    </cfRule>
    <cfRule type="expression" dxfId="3002" priority="231" stopIfTrue="1">
      <formula>AQ61="Land"</formula>
    </cfRule>
  </conditionalFormatting>
  <conditionalFormatting sqref="AF60">
    <cfRule type="expression" dxfId="3001" priority="224" stopIfTrue="1">
      <formula>AG60="Water"</formula>
    </cfRule>
    <cfRule type="expression" dxfId="3000" priority="225" stopIfTrue="1">
      <formula>AF61="Water"</formula>
    </cfRule>
    <cfRule type="expression" dxfId="2999" priority="226" stopIfTrue="1">
      <formula>AG60="Land"</formula>
    </cfRule>
    <cfRule type="expression" dxfId="2998" priority="227" stopIfTrue="1">
      <formula>AF61="Land"</formula>
    </cfRule>
  </conditionalFormatting>
  <conditionalFormatting sqref="AH62:AO69">
    <cfRule type="expression" dxfId="2997" priority="223">
      <formula>AH62&lt;&gt;""</formula>
    </cfRule>
  </conditionalFormatting>
  <conditionalFormatting sqref="AU61:BB61">
    <cfRule type="expression" dxfId="2996" priority="222">
      <formula>AU61="City Wall"</formula>
    </cfRule>
  </conditionalFormatting>
  <conditionalFormatting sqref="AU70:BB70">
    <cfRule type="expression" dxfId="2995" priority="221">
      <formula>AU70="City Wall"</formula>
    </cfRule>
  </conditionalFormatting>
  <conditionalFormatting sqref="AT62:AT69">
    <cfRule type="expression" dxfId="2994" priority="220">
      <formula>AT62="City Wall"</formula>
    </cfRule>
  </conditionalFormatting>
  <conditionalFormatting sqref="BC62:BC69">
    <cfRule type="expression" dxfId="2993" priority="219">
      <formula>BC62="City Wall"</formula>
    </cfRule>
  </conditionalFormatting>
  <conditionalFormatting sqref="AT61">
    <cfRule type="expression" dxfId="2992" priority="217">
      <formula>AT62="City Wall"</formula>
    </cfRule>
    <cfRule type="expression" dxfId="2991" priority="218">
      <formula>AU61="City Wall"</formula>
    </cfRule>
  </conditionalFormatting>
  <conditionalFormatting sqref="BC61">
    <cfRule type="expression" dxfId="2990" priority="215">
      <formula>BC62="City Wall"</formula>
    </cfRule>
    <cfRule type="expression" dxfId="2989" priority="216">
      <formula>AU61="City Wall"</formula>
    </cfRule>
  </conditionalFormatting>
  <conditionalFormatting sqref="BC70">
    <cfRule type="expression" dxfId="2988" priority="213">
      <formula>AU70="City Wall"</formula>
    </cfRule>
    <cfRule type="expression" dxfId="2987" priority="214">
      <formula>BC62="City Wall"</formula>
    </cfRule>
  </conditionalFormatting>
  <conditionalFormatting sqref="AT70">
    <cfRule type="expression" dxfId="2986" priority="211">
      <formula>AT62="City Wall"</formula>
    </cfRule>
    <cfRule type="expression" dxfId="2985" priority="212">
      <formula>AU70="City Wall"</formula>
    </cfRule>
  </conditionalFormatting>
  <conditionalFormatting sqref="AT71:BC71">
    <cfRule type="expression" dxfId="2984" priority="209">
      <formula>AT71="Land"</formula>
    </cfRule>
    <cfRule type="expression" dxfId="2983" priority="210">
      <formula>AT71="Water"</formula>
    </cfRule>
  </conditionalFormatting>
  <conditionalFormatting sqref="BD71">
    <cfRule type="expression" dxfId="2982" priority="205" stopIfTrue="1">
      <formula>BD61="Water"</formula>
    </cfRule>
    <cfRule type="expression" dxfId="2981" priority="206" stopIfTrue="1">
      <formula>AT71="Water"</formula>
    </cfRule>
    <cfRule type="expression" dxfId="2980" priority="207" stopIfTrue="1">
      <formula>AT71="Land"</formula>
    </cfRule>
    <cfRule type="expression" dxfId="2979" priority="208" stopIfTrue="1">
      <formula>BD61="Land"</formula>
    </cfRule>
  </conditionalFormatting>
  <conditionalFormatting sqref="AT60:BC60">
    <cfRule type="expression" dxfId="2978" priority="203" stopIfTrue="1">
      <formula>AT60="Water"</formula>
    </cfRule>
    <cfRule type="expression" dxfId="2977" priority="204" stopIfTrue="1">
      <formula>AT60="Land"</formula>
    </cfRule>
  </conditionalFormatting>
  <conditionalFormatting sqref="AS71">
    <cfRule type="expression" dxfId="2976" priority="199" stopIfTrue="1">
      <formula>AS61="Water"</formula>
    </cfRule>
    <cfRule type="expression" dxfId="2975" priority="200" stopIfTrue="1">
      <formula>AT71="Water"</formula>
    </cfRule>
    <cfRule type="expression" dxfId="2974" priority="201" stopIfTrue="1">
      <formula>AT71="Land"</formula>
    </cfRule>
    <cfRule type="expression" dxfId="2973" priority="202" stopIfTrue="1">
      <formula>AS61="Land"</formula>
    </cfRule>
  </conditionalFormatting>
  <conditionalFormatting sqref="AS61:AS70">
    <cfRule type="expression" dxfId="2972" priority="197" stopIfTrue="1">
      <formula>AS61="Water"</formula>
    </cfRule>
    <cfRule type="expression" dxfId="2971" priority="198" stopIfTrue="1">
      <formula>AS61="Land"</formula>
    </cfRule>
  </conditionalFormatting>
  <conditionalFormatting sqref="BD61:BD70">
    <cfRule type="expression" dxfId="2970" priority="195" stopIfTrue="1">
      <formula>BD61="Water"</formula>
    </cfRule>
    <cfRule type="expression" dxfId="2969" priority="196" stopIfTrue="1">
      <formula>BD61="Land"</formula>
    </cfRule>
  </conditionalFormatting>
  <conditionalFormatting sqref="BD60">
    <cfRule type="expression" dxfId="2968" priority="191" stopIfTrue="1">
      <formula>BD61="Water"</formula>
    </cfRule>
    <cfRule type="expression" dxfId="2967" priority="192" stopIfTrue="1">
      <formula>AT60="Water"</formula>
    </cfRule>
    <cfRule type="expression" dxfId="2966" priority="193" stopIfTrue="1">
      <formula>AT60="Land"</formula>
    </cfRule>
    <cfRule type="expression" dxfId="2965" priority="194" stopIfTrue="1">
      <formula>BD61="Land"</formula>
    </cfRule>
  </conditionalFormatting>
  <conditionalFormatting sqref="AS60">
    <cfRule type="expression" dxfId="2964" priority="187" stopIfTrue="1">
      <formula>AT60="Water"</formula>
    </cfRule>
    <cfRule type="expression" dxfId="2963" priority="188" stopIfTrue="1">
      <formula>AS61="Water"</formula>
    </cfRule>
    <cfRule type="expression" dxfId="2962" priority="189" stopIfTrue="1">
      <formula>AT60="Land"</formula>
    </cfRule>
    <cfRule type="expression" dxfId="2961" priority="190" stopIfTrue="1">
      <formula>AS61="Land"</formula>
    </cfRule>
  </conditionalFormatting>
  <conditionalFormatting sqref="AU62:BB69">
    <cfRule type="expression" dxfId="2960" priority="186">
      <formula>AU62&lt;&gt;""</formula>
    </cfRule>
  </conditionalFormatting>
  <conditionalFormatting sqref="BH9:BO9">
    <cfRule type="expression" dxfId="2959" priority="185">
      <formula>BH9="City Wall"</formula>
    </cfRule>
  </conditionalFormatting>
  <conditionalFormatting sqref="BH18:BO18">
    <cfRule type="expression" dxfId="2958" priority="184">
      <formula>BH18="City Wall"</formula>
    </cfRule>
  </conditionalFormatting>
  <conditionalFormatting sqref="BG10:BG17">
    <cfRule type="expression" dxfId="2957" priority="183">
      <formula>BG10="City Wall"</formula>
    </cfRule>
  </conditionalFormatting>
  <conditionalFormatting sqref="BP10:BP17">
    <cfRule type="expression" dxfId="2956" priority="182">
      <formula>BP10="City Wall"</formula>
    </cfRule>
  </conditionalFormatting>
  <conditionalFormatting sqref="BG9">
    <cfRule type="expression" dxfId="2955" priority="180">
      <formula>BG10="City Wall"</formula>
    </cfRule>
    <cfRule type="expression" dxfId="2954" priority="181">
      <formula>BH9="City Wall"</formula>
    </cfRule>
  </conditionalFormatting>
  <conditionalFormatting sqref="BP9">
    <cfRule type="expression" dxfId="2953" priority="178">
      <formula>BP10="City Wall"</formula>
    </cfRule>
    <cfRule type="expression" dxfId="2952" priority="179">
      <formula>BH9="City Wall"</formula>
    </cfRule>
  </conditionalFormatting>
  <conditionalFormatting sqref="BP18">
    <cfRule type="expression" dxfId="2951" priority="176">
      <formula>BH18="City Wall"</formula>
    </cfRule>
    <cfRule type="expression" dxfId="2950" priority="177">
      <formula>BP10="City Wall"</formula>
    </cfRule>
  </conditionalFormatting>
  <conditionalFormatting sqref="BG18">
    <cfRule type="expression" dxfId="2949" priority="174">
      <formula>BG10="City Wall"</formula>
    </cfRule>
    <cfRule type="expression" dxfId="2948" priority="175">
      <formula>BH18="City Wall"</formula>
    </cfRule>
  </conditionalFormatting>
  <conditionalFormatting sqref="BG19:BP19">
    <cfRule type="expression" dxfId="2947" priority="172">
      <formula>BG19="Land"</formula>
    </cfRule>
    <cfRule type="expression" dxfId="2946" priority="173">
      <formula>BG19="Water"</formula>
    </cfRule>
  </conditionalFormatting>
  <conditionalFormatting sqref="BQ19">
    <cfRule type="expression" dxfId="2945" priority="168" stopIfTrue="1">
      <formula>BQ9="Water"</formula>
    </cfRule>
    <cfRule type="expression" dxfId="2944" priority="169" stopIfTrue="1">
      <formula>BG19="Water"</formula>
    </cfRule>
    <cfRule type="expression" dxfId="2943" priority="170" stopIfTrue="1">
      <formula>BG19="Land"</formula>
    </cfRule>
    <cfRule type="expression" dxfId="2942" priority="171" stopIfTrue="1">
      <formula>BQ9="Land"</formula>
    </cfRule>
  </conditionalFormatting>
  <conditionalFormatting sqref="BG8:BP8">
    <cfRule type="expression" dxfId="2941" priority="166" stopIfTrue="1">
      <formula>BG8="Water"</formula>
    </cfRule>
    <cfRule type="expression" dxfId="2940" priority="167" stopIfTrue="1">
      <formula>BG8="Land"</formula>
    </cfRule>
  </conditionalFormatting>
  <conditionalFormatting sqref="BF19">
    <cfRule type="expression" dxfId="2939" priority="162" stopIfTrue="1">
      <formula>BF9="Water"</formula>
    </cfRule>
    <cfRule type="expression" dxfId="2938" priority="163" stopIfTrue="1">
      <formula>BG19="Water"</formula>
    </cfRule>
    <cfRule type="expression" dxfId="2937" priority="164" stopIfTrue="1">
      <formula>BG19="Land"</formula>
    </cfRule>
    <cfRule type="expression" dxfId="2936" priority="165" stopIfTrue="1">
      <formula>BF9="Land"</formula>
    </cfRule>
  </conditionalFormatting>
  <conditionalFormatting sqref="BF9:BF18">
    <cfRule type="expression" dxfId="2935" priority="160" stopIfTrue="1">
      <formula>BF9="Water"</formula>
    </cfRule>
    <cfRule type="expression" dxfId="2934" priority="161" stopIfTrue="1">
      <formula>BF9="Land"</formula>
    </cfRule>
  </conditionalFormatting>
  <conditionalFormatting sqref="BQ9:BQ18">
    <cfRule type="expression" dxfId="2933" priority="158" stopIfTrue="1">
      <formula>BQ9="Water"</formula>
    </cfRule>
    <cfRule type="expression" dxfId="2932" priority="159" stopIfTrue="1">
      <formula>BQ9="Land"</formula>
    </cfRule>
  </conditionalFormatting>
  <conditionalFormatting sqref="BQ8">
    <cfRule type="expression" dxfId="2931" priority="154" stopIfTrue="1">
      <formula>BQ9="Water"</formula>
    </cfRule>
    <cfRule type="expression" dxfId="2930" priority="155" stopIfTrue="1">
      <formula>BG8="Water"</formula>
    </cfRule>
    <cfRule type="expression" dxfId="2929" priority="156" stopIfTrue="1">
      <formula>BG8="Land"</formula>
    </cfRule>
    <cfRule type="expression" dxfId="2928" priority="157" stopIfTrue="1">
      <formula>BQ9="Land"</formula>
    </cfRule>
  </conditionalFormatting>
  <conditionalFormatting sqref="BF8">
    <cfRule type="expression" dxfId="2927" priority="150" stopIfTrue="1">
      <formula>BG8="Water"</formula>
    </cfRule>
    <cfRule type="expression" dxfId="2926" priority="151" stopIfTrue="1">
      <formula>BF9="Water"</formula>
    </cfRule>
    <cfRule type="expression" dxfId="2925" priority="152" stopIfTrue="1">
      <formula>BG8="Land"</formula>
    </cfRule>
    <cfRule type="expression" dxfId="2924" priority="153" stopIfTrue="1">
      <formula>BF9="Land"</formula>
    </cfRule>
  </conditionalFormatting>
  <conditionalFormatting sqref="BH10:BO17">
    <cfRule type="expression" dxfId="2923" priority="149">
      <formula>BH10&lt;&gt;""</formula>
    </cfRule>
  </conditionalFormatting>
  <conditionalFormatting sqref="BH22:BO22">
    <cfRule type="expression" dxfId="2922" priority="148">
      <formula>BH22="City Wall"</formula>
    </cfRule>
  </conditionalFormatting>
  <conditionalFormatting sqref="BH31:BO31">
    <cfRule type="expression" dxfId="2921" priority="147">
      <formula>BH31="City Wall"</formula>
    </cfRule>
  </conditionalFormatting>
  <conditionalFormatting sqref="BG23:BG30">
    <cfRule type="expression" dxfId="2920" priority="146">
      <formula>BG23="City Wall"</formula>
    </cfRule>
  </conditionalFormatting>
  <conditionalFormatting sqref="BP23:BP30">
    <cfRule type="expression" dxfId="2919" priority="145">
      <formula>BP23="City Wall"</formula>
    </cfRule>
  </conditionalFormatting>
  <conditionalFormatting sqref="BG22">
    <cfRule type="expression" dxfId="2918" priority="143">
      <formula>BG23="City Wall"</formula>
    </cfRule>
    <cfRule type="expression" dxfId="2917" priority="144">
      <formula>BH22="City Wall"</formula>
    </cfRule>
  </conditionalFormatting>
  <conditionalFormatting sqref="BP22">
    <cfRule type="expression" dxfId="2916" priority="141">
      <formula>BP23="City Wall"</formula>
    </cfRule>
    <cfRule type="expression" dxfId="2915" priority="142">
      <formula>BH22="City Wall"</formula>
    </cfRule>
  </conditionalFormatting>
  <conditionalFormatting sqref="BP31">
    <cfRule type="expression" dxfId="2914" priority="139">
      <formula>BH31="City Wall"</formula>
    </cfRule>
    <cfRule type="expression" dxfId="2913" priority="140">
      <formula>BP23="City Wall"</formula>
    </cfRule>
  </conditionalFormatting>
  <conditionalFormatting sqref="BG31">
    <cfRule type="expression" dxfId="2912" priority="137">
      <formula>BG23="City Wall"</formula>
    </cfRule>
    <cfRule type="expression" dxfId="2911" priority="138">
      <formula>BH31="City Wall"</formula>
    </cfRule>
  </conditionalFormatting>
  <conditionalFormatting sqref="BG32:BP32">
    <cfRule type="expression" dxfId="2910" priority="135">
      <formula>BG32="Land"</formula>
    </cfRule>
    <cfRule type="expression" dxfId="2909" priority="136">
      <formula>BG32="Water"</formula>
    </cfRule>
  </conditionalFormatting>
  <conditionalFormatting sqref="BQ32">
    <cfRule type="expression" dxfId="2908" priority="131" stopIfTrue="1">
      <formula>BQ22="Water"</formula>
    </cfRule>
    <cfRule type="expression" dxfId="2907" priority="132" stopIfTrue="1">
      <formula>BG32="Water"</formula>
    </cfRule>
    <cfRule type="expression" dxfId="2906" priority="133" stopIfTrue="1">
      <formula>BG32="Land"</formula>
    </cfRule>
    <cfRule type="expression" dxfId="2905" priority="134" stopIfTrue="1">
      <formula>BQ22="Land"</formula>
    </cfRule>
  </conditionalFormatting>
  <conditionalFormatting sqref="BG21:BP21">
    <cfRule type="expression" dxfId="2904" priority="129" stopIfTrue="1">
      <formula>BG21="Water"</formula>
    </cfRule>
    <cfRule type="expression" dxfId="2903" priority="130" stopIfTrue="1">
      <formula>BG21="Land"</formula>
    </cfRule>
  </conditionalFormatting>
  <conditionalFormatting sqref="BF32">
    <cfRule type="expression" dxfId="2902" priority="125" stopIfTrue="1">
      <formula>BF22="Water"</formula>
    </cfRule>
    <cfRule type="expression" dxfId="2901" priority="126" stopIfTrue="1">
      <formula>BG32="Water"</formula>
    </cfRule>
    <cfRule type="expression" dxfId="2900" priority="127" stopIfTrue="1">
      <formula>BG32="Land"</formula>
    </cfRule>
    <cfRule type="expression" dxfId="2899" priority="128" stopIfTrue="1">
      <formula>BF22="Land"</formula>
    </cfRule>
  </conditionalFormatting>
  <conditionalFormatting sqref="BF22:BF31">
    <cfRule type="expression" dxfId="2898" priority="123" stopIfTrue="1">
      <formula>BF22="Water"</formula>
    </cfRule>
    <cfRule type="expression" dxfId="2897" priority="124" stopIfTrue="1">
      <formula>BF22="Land"</formula>
    </cfRule>
  </conditionalFormatting>
  <conditionalFormatting sqref="BQ22:BQ31">
    <cfRule type="expression" dxfId="2896" priority="121" stopIfTrue="1">
      <formula>BQ22="Water"</formula>
    </cfRule>
    <cfRule type="expression" dxfId="2895" priority="122" stopIfTrue="1">
      <formula>BQ22="Land"</formula>
    </cfRule>
  </conditionalFormatting>
  <conditionalFormatting sqref="BQ21">
    <cfRule type="expression" dxfId="2894" priority="117" stopIfTrue="1">
      <formula>BQ22="Water"</formula>
    </cfRule>
    <cfRule type="expression" dxfId="2893" priority="118" stopIfTrue="1">
      <formula>BG21="Water"</formula>
    </cfRule>
    <cfRule type="expression" dxfId="2892" priority="119" stopIfTrue="1">
      <formula>BG21="Land"</formula>
    </cfRule>
    <cfRule type="expression" dxfId="2891" priority="120" stopIfTrue="1">
      <formula>BQ22="Land"</formula>
    </cfRule>
  </conditionalFormatting>
  <conditionalFormatting sqref="BF21">
    <cfRule type="expression" dxfId="2890" priority="113" stopIfTrue="1">
      <formula>BG21="Water"</formula>
    </cfRule>
    <cfRule type="expression" dxfId="2889" priority="114" stopIfTrue="1">
      <formula>BF22="Water"</formula>
    </cfRule>
    <cfRule type="expression" dxfId="2888" priority="115" stopIfTrue="1">
      <formula>BG21="Land"</formula>
    </cfRule>
    <cfRule type="expression" dxfId="2887" priority="116" stopIfTrue="1">
      <formula>BF22="Land"</formula>
    </cfRule>
  </conditionalFormatting>
  <conditionalFormatting sqref="BH23:BO30">
    <cfRule type="expression" dxfId="2886" priority="112">
      <formula>BH23&lt;&gt;""</formula>
    </cfRule>
  </conditionalFormatting>
  <conditionalFormatting sqref="BH35:BO35">
    <cfRule type="expression" dxfId="2885" priority="111">
      <formula>BH35="City Wall"</formula>
    </cfRule>
  </conditionalFormatting>
  <conditionalFormatting sqref="BH44:BO44">
    <cfRule type="expression" dxfId="2884" priority="110">
      <formula>BH44="City Wall"</formula>
    </cfRule>
  </conditionalFormatting>
  <conditionalFormatting sqref="BG36:BG43">
    <cfRule type="expression" dxfId="2883" priority="109">
      <formula>BG36="City Wall"</formula>
    </cfRule>
  </conditionalFormatting>
  <conditionalFormatting sqref="BP36:BP43">
    <cfRule type="expression" dxfId="2882" priority="108">
      <formula>BP36="City Wall"</formula>
    </cfRule>
  </conditionalFormatting>
  <conditionalFormatting sqref="BG35">
    <cfRule type="expression" dxfId="2881" priority="106">
      <formula>BG36="City Wall"</formula>
    </cfRule>
    <cfRule type="expression" dxfId="2880" priority="107">
      <formula>BH35="City Wall"</formula>
    </cfRule>
  </conditionalFormatting>
  <conditionalFormatting sqref="BP35">
    <cfRule type="expression" dxfId="2879" priority="104">
      <formula>BP36="City Wall"</formula>
    </cfRule>
    <cfRule type="expression" dxfId="2878" priority="105">
      <formula>BH35="City Wall"</formula>
    </cfRule>
  </conditionalFormatting>
  <conditionalFormatting sqref="BP44">
    <cfRule type="expression" dxfId="2877" priority="102">
      <formula>BH44="City Wall"</formula>
    </cfRule>
    <cfRule type="expression" dxfId="2876" priority="103">
      <formula>BP36="City Wall"</formula>
    </cfRule>
  </conditionalFormatting>
  <conditionalFormatting sqref="BG44">
    <cfRule type="expression" dxfId="2875" priority="100">
      <formula>BG36="City Wall"</formula>
    </cfRule>
    <cfRule type="expression" dxfId="2874" priority="101">
      <formula>BH44="City Wall"</formula>
    </cfRule>
  </conditionalFormatting>
  <conditionalFormatting sqref="BG45:BP45">
    <cfRule type="expression" dxfId="2873" priority="98">
      <formula>BG45="Land"</formula>
    </cfRule>
    <cfRule type="expression" dxfId="2872" priority="99">
      <formula>BG45="Water"</formula>
    </cfRule>
  </conditionalFormatting>
  <conditionalFormatting sqref="BQ45">
    <cfRule type="expression" dxfId="2871" priority="94" stopIfTrue="1">
      <formula>BQ35="Water"</formula>
    </cfRule>
    <cfRule type="expression" dxfId="2870" priority="95" stopIfTrue="1">
      <formula>BG45="Water"</formula>
    </cfRule>
    <cfRule type="expression" dxfId="2869" priority="96" stopIfTrue="1">
      <formula>BG45="Land"</formula>
    </cfRule>
    <cfRule type="expression" dxfId="2868" priority="97" stopIfTrue="1">
      <formula>BQ35="Land"</formula>
    </cfRule>
  </conditionalFormatting>
  <conditionalFormatting sqref="BG34:BP34">
    <cfRule type="expression" dxfId="2867" priority="92" stopIfTrue="1">
      <formula>BG34="Water"</formula>
    </cfRule>
    <cfRule type="expression" dxfId="2866" priority="93" stopIfTrue="1">
      <formula>BG34="Land"</formula>
    </cfRule>
  </conditionalFormatting>
  <conditionalFormatting sqref="BF45">
    <cfRule type="expression" dxfId="2865" priority="88" stopIfTrue="1">
      <formula>BF35="Water"</formula>
    </cfRule>
    <cfRule type="expression" dxfId="2864" priority="89" stopIfTrue="1">
      <formula>BG45="Water"</formula>
    </cfRule>
    <cfRule type="expression" dxfId="2863" priority="90" stopIfTrue="1">
      <formula>BG45="Land"</formula>
    </cfRule>
    <cfRule type="expression" dxfId="2862" priority="91" stopIfTrue="1">
      <formula>BF35="Land"</formula>
    </cfRule>
  </conditionalFormatting>
  <conditionalFormatting sqref="BF35:BF44">
    <cfRule type="expression" dxfId="2861" priority="86" stopIfTrue="1">
      <formula>BF35="Water"</formula>
    </cfRule>
    <cfRule type="expression" dxfId="2860" priority="87" stopIfTrue="1">
      <formula>BF35="Land"</formula>
    </cfRule>
  </conditionalFormatting>
  <conditionalFormatting sqref="BQ35:BQ44">
    <cfRule type="expression" dxfId="2859" priority="84" stopIfTrue="1">
      <formula>BQ35="Water"</formula>
    </cfRule>
    <cfRule type="expression" dxfId="2858" priority="85" stopIfTrue="1">
      <formula>BQ35="Land"</formula>
    </cfRule>
  </conditionalFormatting>
  <conditionalFormatting sqref="BQ34">
    <cfRule type="expression" dxfId="2857" priority="80" stopIfTrue="1">
      <formula>BQ35="Water"</formula>
    </cfRule>
    <cfRule type="expression" dxfId="2856" priority="81" stopIfTrue="1">
      <formula>BG34="Water"</formula>
    </cfRule>
    <cfRule type="expression" dxfId="2855" priority="82" stopIfTrue="1">
      <formula>BG34="Land"</formula>
    </cfRule>
    <cfRule type="expression" dxfId="2854" priority="83" stopIfTrue="1">
      <formula>BQ35="Land"</formula>
    </cfRule>
  </conditionalFormatting>
  <conditionalFormatting sqref="BF34">
    <cfRule type="expression" dxfId="2853" priority="76" stopIfTrue="1">
      <formula>BG34="Water"</formula>
    </cfRule>
    <cfRule type="expression" dxfId="2852" priority="77" stopIfTrue="1">
      <formula>BF35="Water"</formula>
    </cfRule>
    <cfRule type="expression" dxfId="2851" priority="78" stopIfTrue="1">
      <formula>BG34="Land"</formula>
    </cfRule>
    <cfRule type="expression" dxfId="2850" priority="79" stopIfTrue="1">
      <formula>BF35="Land"</formula>
    </cfRule>
  </conditionalFormatting>
  <conditionalFormatting sqref="BH36:BO43">
    <cfRule type="expression" dxfId="2849" priority="75">
      <formula>BH36&lt;&gt;""</formula>
    </cfRule>
  </conditionalFormatting>
  <conditionalFormatting sqref="BH48:BO48">
    <cfRule type="expression" dxfId="2848" priority="74">
      <formula>BH48="City Wall"</formula>
    </cfRule>
  </conditionalFormatting>
  <conditionalFormatting sqref="BH57:BO57">
    <cfRule type="expression" dxfId="2847" priority="73">
      <formula>BH57="City Wall"</formula>
    </cfRule>
  </conditionalFormatting>
  <conditionalFormatting sqref="BG49:BG56">
    <cfRule type="expression" dxfId="2846" priority="72">
      <formula>BG49="City Wall"</formula>
    </cfRule>
  </conditionalFormatting>
  <conditionalFormatting sqref="BP49:BP56">
    <cfRule type="expression" dxfId="2845" priority="71">
      <formula>BP49="City Wall"</formula>
    </cfRule>
  </conditionalFormatting>
  <conditionalFormatting sqref="BG48">
    <cfRule type="expression" dxfId="2844" priority="69">
      <formula>BG49="City Wall"</formula>
    </cfRule>
    <cfRule type="expression" dxfId="2843" priority="70">
      <formula>BH48="City Wall"</formula>
    </cfRule>
  </conditionalFormatting>
  <conditionalFormatting sqref="BP48">
    <cfRule type="expression" dxfId="2842" priority="67">
      <formula>BP49="City Wall"</formula>
    </cfRule>
    <cfRule type="expression" dxfId="2841" priority="68">
      <formula>BH48="City Wall"</formula>
    </cfRule>
  </conditionalFormatting>
  <conditionalFormatting sqref="BP57">
    <cfRule type="expression" dxfId="2840" priority="65">
      <formula>BH57="City Wall"</formula>
    </cfRule>
    <cfRule type="expression" dxfId="2839" priority="66">
      <formula>BP49="City Wall"</formula>
    </cfRule>
  </conditionalFormatting>
  <conditionalFormatting sqref="BG57">
    <cfRule type="expression" dxfId="2838" priority="63">
      <formula>BG49="City Wall"</formula>
    </cfRule>
    <cfRule type="expression" dxfId="2837" priority="64">
      <formula>BH57="City Wall"</formula>
    </cfRule>
  </conditionalFormatting>
  <conditionalFormatting sqref="BG58:BP58">
    <cfRule type="expression" dxfId="2836" priority="61">
      <formula>BG58="Land"</formula>
    </cfRule>
    <cfRule type="expression" dxfId="2835" priority="62">
      <formula>BG58="Water"</formula>
    </cfRule>
  </conditionalFormatting>
  <conditionalFormatting sqref="BQ58">
    <cfRule type="expression" dxfId="2834" priority="57" stopIfTrue="1">
      <formula>BQ48="Water"</formula>
    </cfRule>
    <cfRule type="expression" dxfId="2833" priority="58" stopIfTrue="1">
      <formula>BG58="Water"</formula>
    </cfRule>
    <cfRule type="expression" dxfId="2832" priority="59" stopIfTrue="1">
      <formula>BG58="Land"</formula>
    </cfRule>
    <cfRule type="expression" dxfId="2831" priority="60" stopIfTrue="1">
      <formula>BQ48="Land"</formula>
    </cfRule>
  </conditionalFormatting>
  <conditionalFormatting sqref="BG47:BP47">
    <cfRule type="expression" dxfId="2830" priority="55" stopIfTrue="1">
      <formula>BG47="Water"</formula>
    </cfRule>
    <cfRule type="expression" dxfId="2829" priority="56" stopIfTrue="1">
      <formula>BG47="Land"</formula>
    </cfRule>
  </conditionalFormatting>
  <conditionalFormatting sqref="BF58">
    <cfRule type="expression" dxfId="2828" priority="51" stopIfTrue="1">
      <formula>BF48="Water"</formula>
    </cfRule>
    <cfRule type="expression" dxfId="2827" priority="52" stopIfTrue="1">
      <formula>BG58="Water"</formula>
    </cfRule>
    <cfRule type="expression" dxfId="2826" priority="53" stopIfTrue="1">
      <formula>BG58="Land"</formula>
    </cfRule>
    <cfRule type="expression" dxfId="2825" priority="54" stopIfTrue="1">
      <formula>BF48="Land"</formula>
    </cfRule>
  </conditionalFormatting>
  <conditionalFormatting sqref="BF48:BF57">
    <cfRule type="expression" dxfId="2824" priority="49" stopIfTrue="1">
      <formula>BF48="Water"</formula>
    </cfRule>
    <cfRule type="expression" dxfId="2823" priority="50" stopIfTrue="1">
      <formula>BF48="Land"</formula>
    </cfRule>
  </conditionalFormatting>
  <conditionalFormatting sqref="BQ48:BQ57">
    <cfRule type="expression" dxfId="2822" priority="47" stopIfTrue="1">
      <formula>BQ48="Water"</formula>
    </cfRule>
    <cfRule type="expression" dxfId="2821" priority="48" stopIfTrue="1">
      <formula>BQ48="Land"</formula>
    </cfRule>
  </conditionalFormatting>
  <conditionalFormatting sqref="BQ47">
    <cfRule type="expression" dxfId="2820" priority="43" stopIfTrue="1">
      <formula>BQ48="Water"</formula>
    </cfRule>
    <cfRule type="expression" dxfId="2819" priority="44" stopIfTrue="1">
      <formula>BG47="Water"</formula>
    </cfRule>
    <cfRule type="expression" dxfId="2818" priority="45" stopIfTrue="1">
      <formula>BG47="Land"</formula>
    </cfRule>
    <cfRule type="expression" dxfId="2817" priority="46" stopIfTrue="1">
      <formula>BQ48="Land"</formula>
    </cfRule>
  </conditionalFormatting>
  <conditionalFormatting sqref="BF47">
    <cfRule type="expression" dxfId="2816" priority="39" stopIfTrue="1">
      <formula>BG47="Water"</formula>
    </cfRule>
    <cfRule type="expression" dxfId="2815" priority="40" stopIfTrue="1">
      <formula>BF48="Water"</formula>
    </cfRule>
    <cfRule type="expression" dxfId="2814" priority="41" stopIfTrue="1">
      <formula>BG47="Land"</formula>
    </cfRule>
    <cfRule type="expression" dxfId="2813" priority="42" stopIfTrue="1">
      <formula>BF48="Land"</formula>
    </cfRule>
  </conditionalFormatting>
  <conditionalFormatting sqref="BH49:BO56">
    <cfRule type="expression" dxfId="2812" priority="38">
      <formula>BH49&lt;&gt;""</formula>
    </cfRule>
  </conditionalFormatting>
  <conditionalFormatting sqref="BH61:BO61">
    <cfRule type="expression" dxfId="2811" priority="37">
      <formula>BH61="City Wall"</formula>
    </cfRule>
  </conditionalFormatting>
  <conditionalFormatting sqref="BH70:BO70">
    <cfRule type="expression" dxfId="2810" priority="36">
      <formula>BH70="City Wall"</formula>
    </cfRule>
  </conditionalFormatting>
  <conditionalFormatting sqref="BG62:BG69">
    <cfRule type="expression" dxfId="2809" priority="35">
      <formula>BG62="City Wall"</formula>
    </cfRule>
  </conditionalFormatting>
  <conditionalFormatting sqref="BP62:BP69">
    <cfRule type="expression" dxfId="2808" priority="34">
      <formula>BP62="City Wall"</formula>
    </cfRule>
  </conditionalFormatting>
  <conditionalFormatting sqref="BG61">
    <cfRule type="expression" dxfId="2807" priority="32">
      <formula>BG62="City Wall"</formula>
    </cfRule>
    <cfRule type="expression" dxfId="2806" priority="33">
      <formula>BH61="City Wall"</formula>
    </cfRule>
  </conditionalFormatting>
  <conditionalFormatting sqref="BP61">
    <cfRule type="expression" dxfId="2805" priority="30">
      <formula>BP62="City Wall"</formula>
    </cfRule>
    <cfRule type="expression" dxfId="2804" priority="31">
      <formula>BH61="City Wall"</formula>
    </cfRule>
  </conditionalFormatting>
  <conditionalFormatting sqref="BP70">
    <cfRule type="expression" dxfId="2803" priority="28">
      <formula>BH70="City Wall"</formula>
    </cfRule>
    <cfRule type="expression" dxfId="2802" priority="29">
      <formula>BP62="City Wall"</formula>
    </cfRule>
  </conditionalFormatting>
  <conditionalFormatting sqref="BG70">
    <cfRule type="expression" dxfId="2801" priority="26">
      <formula>BG62="City Wall"</formula>
    </cfRule>
    <cfRule type="expression" dxfId="2800" priority="27">
      <formula>BH70="City Wall"</formula>
    </cfRule>
  </conditionalFormatting>
  <conditionalFormatting sqref="BG71:BP71">
    <cfRule type="expression" dxfId="2799" priority="24">
      <formula>BG71="Land"</formula>
    </cfRule>
    <cfRule type="expression" dxfId="2798" priority="25">
      <formula>BG71="Water"</formula>
    </cfRule>
  </conditionalFormatting>
  <conditionalFormatting sqref="BQ71">
    <cfRule type="expression" dxfId="2797" priority="20" stopIfTrue="1">
      <formula>BQ61="Water"</formula>
    </cfRule>
    <cfRule type="expression" dxfId="2796" priority="21" stopIfTrue="1">
      <formula>BG71="Water"</formula>
    </cfRule>
    <cfRule type="expression" dxfId="2795" priority="22" stopIfTrue="1">
      <formula>BG71="Land"</formula>
    </cfRule>
    <cfRule type="expression" dxfId="2794" priority="23" stopIfTrue="1">
      <formula>BQ61="Land"</formula>
    </cfRule>
  </conditionalFormatting>
  <conditionalFormatting sqref="BG60:BP60">
    <cfRule type="expression" dxfId="2793" priority="18" stopIfTrue="1">
      <formula>BG60="Water"</formula>
    </cfRule>
    <cfRule type="expression" dxfId="2792" priority="19" stopIfTrue="1">
      <formula>BG60="Land"</formula>
    </cfRule>
  </conditionalFormatting>
  <conditionalFormatting sqref="BF71">
    <cfRule type="expression" dxfId="2791" priority="14" stopIfTrue="1">
      <formula>BF61="Water"</formula>
    </cfRule>
    <cfRule type="expression" dxfId="2790" priority="15" stopIfTrue="1">
      <formula>BG71="Water"</formula>
    </cfRule>
    <cfRule type="expression" dxfId="2789" priority="16" stopIfTrue="1">
      <formula>BG71="Land"</formula>
    </cfRule>
    <cfRule type="expression" dxfId="2788" priority="17" stopIfTrue="1">
      <formula>BF61="Land"</formula>
    </cfRule>
  </conditionalFormatting>
  <conditionalFormatting sqref="BF61:BF70">
    <cfRule type="expression" dxfId="2787" priority="12" stopIfTrue="1">
      <formula>BF61="Water"</formula>
    </cfRule>
    <cfRule type="expression" dxfId="2786" priority="13" stopIfTrue="1">
      <formula>BF61="Land"</formula>
    </cfRule>
  </conditionalFormatting>
  <conditionalFormatting sqref="BQ61:BQ70">
    <cfRule type="expression" dxfId="2785" priority="10" stopIfTrue="1">
      <formula>BQ61="Water"</formula>
    </cfRule>
    <cfRule type="expression" dxfId="2784" priority="11" stopIfTrue="1">
      <formula>BQ61="Land"</formula>
    </cfRule>
  </conditionalFormatting>
  <conditionalFormatting sqref="BQ60">
    <cfRule type="expression" dxfId="2783" priority="6" stopIfTrue="1">
      <formula>BQ61="Water"</formula>
    </cfRule>
    <cfRule type="expression" dxfId="2782" priority="7" stopIfTrue="1">
      <formula>BG60="Water"</formula>
    </cfRule>
    <cfRule type="expression" dxfId="2781" priority="8" stopIfTrue="1">
      <formula>BG60="Land"</formula>
    </cfRule>
    <cfRule type="expression" dxfId="2780" priority="9" stopIfTrue="1">
      <formula>BQ61="Land"</formula>
    </cfRule>
  </conditionalFormatting>
  <conditionalFormatting sqref="BF60">
    <cfRule type="expression" dxfId="2779" priority="2" stopIfTrue="1">
      <formula>BG60="Water"</formula>
    </cfRule>
    <cfRule type="expression" dxfId="2778" priority="3" stopIfTrue="1">
      <formula>BF61="Water"</formula>
    </cfRule>
    <cfRule type="expression" dxfId="2777" priority="4" stopIfTrue="1">
      <formula>BG60="Land"</formula>
    </cfRule>
    <cfRule type="expression" dxfId="2776" priority="5" stopIfTrue="1">
      <formula>BF61="Land"</formula>
    </cfRule>
  </conditionalFormatting>
  <conditionalFormatting sqref="BH62:BO69">
    <cfRule type="expression" dxfId="2775" priority="1">
      <formula>BH62&lt;&gt;""</formula>
    </cfRule>
  </conditionalFormatting>
  <dataValidations count="3">
    <dataValidation type="list" allowBlank="1" showInputMessage="1" showErrorMessage="1" sqref="G19:P19 AT47:BC47 BD48:BD57 AS48:AS57 AT58:BC58 AT34:BC34 BD35:BD44 AS35:AS44 AT45:BC45 AT21:BC21 BD22:BD31 AS22:AS31 AT32:BC32 AT8:BC8 BD9:BD18 AS9:AS18 AT19:BC19 AG47:AP47 AQ48:AQ57 AF48:AF57 AG58:AP58 T47:AC47 AD48:AD57 S48:S57 T58:AC58 G47:P47 Q48:Q57 F48:F57 G58:P58 AG34:AP34 AQ35:AQ44 AF35:AF44 AG45:AP45 T34:AC34 AD35:AD44 S35:S44 T45:AC45 G34:P34 Q35:Q44 F35:F44 G45:P45 AG21:AP21 AQ22:AQ31 AF22:AF31 AG32:AP32 T21:AC21 AD22:AD31 S22:S31 T32:AC32 G21:P21 Q22:Q31 F22:F31 G32:P32 AG8:AP8 AQ9:AQ18 AF9:AF18 AG19:AP19 T8:AC8 AD9:AD18 S9:S18 T19:AC19 G8:P8 Q9:Q18 F9:F18 AT60:BC60 BD61:BD70 AS61:AS70 AT71:BC71 AG60:AP60 AQ61:AQ70 AF61:AF70 AG71:AP71 T60:AC60 AD61:AD70 S61:S70 T71:AC71 G60:P60 Q61:Q70 F61:F70 G71:P71 BG47:BP47 BQ48:BQ57 BF48:BF57 BG58:BP58 BG34:BP34 BQ35:BQ44 BF35:BF44 BG45:BP45 BG21:BP21 BQ22:BQ31 BF22:BF31 BG32:BP32 BG8:BP8 BQ9:BQ18 BF9:BF18 BG19:BP19 BG60:BP60 BQ61:BQ70 BF61:BF70 BG71:BP71">
      <formula1>$C$9:$C$10</formula1>
    </dataValidation>
    <dataValidation type="list" allowBlank="1" showInputMessage="1" showErrorMessage="1" sqref="H9:O9 BC49:BC56 AT49:AT56 AU57:BB57 AU48:BB48 BC36:BC43 AT36:AT43 AU44:BB44 AU35:BB35 BC23:BC30 AT23:AT30 AU31:BB31 AU22:BB22 BC10:BC17 AT10:AT17 AU18:BB18 AU9:BB9 AP49:AP56 AG49:AG56 AH57:AO57 AH48:AO48 AC49:AC56 T49:T56 U57:AB57 U48:AB48 P49:P56 G49:G56 H57:O57 H48:O48 AP36:AP43 AG36:AG43 AH44:AO44 AH35:AO35 AC36:AC43 T36:T43 U44:AB44 U35:AB35 P36:P43 G36:G43 H44:O44 H35:O35 AP23:AP30 AG23:AG30 AH31:AO31 AH22:AO22 AC23:AC30 T23:T30 U31:AB31 U22:AB22 P23:P30 G23:G30 H31:O31 H22:O22 AP10:AP17 AG10:AG17 AH18:AO18 AH9:AO9 AC10:AC17 T10:T17 U18:AB18 U9:AB9 P10:P17 G10:G17 H18:O18 BC62:BC69 AT62:AT69 AU70:BB70 AU61:BB61 AP62:AP69 AG62:AG69 AH70:AO70 AH61:AO61 AC62:AC69 T62:T69 U70:AB70 U61:AB61 P62:P69 G62:G69 H70:O70 H61:O61 BP49:BP56 BG49:BG56 BH57:BO57 BH48:BO48 BP36:BP43 BG36:BG43 BH44:BO44 BH35:BO35 BP23:BP30 BG23:BG30 BH31:BO31 BH22:BO22 BP10:BP17 BG10:BG17 BH18:BO18 BH9:BO9 BP62:BP69 BG62:BG69 BH70:BO70 BH61:BO61">
      <formula1>$B$9:$B$10</formula1>
    </dataValidation>
    <dataValidation type="list" allowBlank="1" showInputMessage="1" showErrorMessage="1" sqref="D10 AU49:AV50 AX49:AY50 AU52:AV53 AX52:AY53 BA49:BB50 BA52:BB53 AU55:AV56 AX55:AY56 BA55:BB56 AU36:AV37 AX36:AY37 AU39:AV40 AX39:AY40 BA36:BB37 BA39:BB40 AU42:AV43 AX42:AY43 BA42:BB43 AU23:AV24 AX23:AY24 AU26:AV27 AX26:AY27 BA23:BB24 BA26:BB27 AU29:AV30 AX29:AY30 BA29:BB30 AU10:AV11 AX10:AY11 AU13:AV14 AX13:AY14 BA10:BB11 BA13:BB14 AU16:AV17 AX16:AY17 BA16:BB17 AH49:AI50 AK49:AL50 AH52:AI53 AK52:AL53 AN49:AO50 AN52:AO53 AH55:AI56 AK55:AL56 AN55:AO56 U49:V50 X49:Y50 U52:V53 X52:Y53 AA49:AB50 AA52:AB53 U55:V56 X55:Y56 AA55:AB56 H49:I50 K49:L50 H52:I53 K52:L53 N49:O50 N52:O53 H55:I56 K55:L56 N55:O56 AH36:AI37 AK36:AL37 AH39:AI40 AK39:AL40 AN36:AO37 AN39:AO40 AH42:AI43 AK42:AL43 AN42:AO43 U36:V37 X36:Y37 U39:V40 X39:Y40 AA36:AB37 AA39:AB40 U42:V43 X42:Y43 AA42:AB43 H36:I37 K36:L37 H39:I40 K39:L40 N36:O37 N39:O40 H42:I43 K42:L43 N42:O43 AH23:AI24 AK23:AL24 AH26:AI27 AK26:AL27 AN23:AO24 AN26:AO27 AH29:AI30 AK29:AL30 AN29:AO30 U23:V24 X23:Y24 U26:V27 X26:Y27 AA23:AB24 AA26:AB27 U29:V30 X29:Y30 AA29:AB30 H23:I24 K23:L24 H26:I27 K26:L27 N23:O24 N26:O27 H29:I30 K29:L30 N29:O30 AH10:AI11 AK10:AL11 AH13:AI14 AK13:AL14 AN10:AO11 AN13:AO14 AH16:AI17 AK16:AL17 AN16:AO17 U10:V11 X10:Y11 U13:V14 X13:Y14 AA10:AB11 AA13:AB14 U16:V17 X16:Y17 AA16:AB17 H10:I11 K10:L11 H13:I14 K13:L14 N10:O11 N13:O14 H16:I17 K16:L17 N16:O17 AU62:AV63 AX62:AY63 AU65:AV66 AX65:AY66 BA62:BB63 BA65:BB66 AU68:AV69 AX68:AY69 BA68:BB69 AH62:AI63 AK62:AL63 AH65:AI66 AK65:AL66 AN62:AO63 AN65:AO66 AH68:AI69 AK68:AL69 AN68:AO69 U62:V63 X62:Y63 U65:V66 X65:Y66 AA62:AB63 AA65:AB66 U68:V69 X68:Y69 AA68:AB69 H62:I63 K62:L63 H65:I66 K65:L66 N62:O63 N65:O66 H68:I69 K68:L69 N68:O69 BH49:BI50 BK49:BL50 BH52:BI53 BK52:BL53 BN49:BO50 BN52:BO53 BH55:BI56 BK55:BL56 BN55:BO56 BH36:BI37 BK36:BL37 BH39:BI40 BK39:BL40 BN36:BO37 BN39:BO40 BH42:BI43 BK42:BL43 BN42:BO43 BH23:BI24 BK23:BL24 BH26:BI27 BK26:BL27 BN23:BO24 BN26:BO27 BH29:BI30 BK29:BL30 BN29:BO30 BH10:BI11 BK10:BL11 BH13:BI14 BK13:BL14 BN10:BO11 BN13:BO14 BH16:BI17 BK16:BL17 BN16:BO17 BH62:BI63 BK62:BL63 BH65:BI66 BK65:BL66 BN62:BO63 BN65:BO66 BH68:BI69 BK68:BL69 BN68:BO69">
      <formula1>$A$9:$A$65</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horizontalDpi="4294967294" verticalDpi="0" r:id="rId1"/>
  <headerFooter>
    <oddHeade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H73"/>
  <sheetViews>
    <sheetView zoomScale="80" zoomScaleNormal="80" workbookViewId="0">
      <selection activeCell="D2" sqref="D2:T2"/>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288"/>
      <c r="V2" s="288"/>
      <c r="W2" s="288"/>
      <c r="X2" s="288"/>
      <c r="Y2" s="288"/>
      <c r="Z2" s="288"/>
      <c r="AA2" s="288"/>
      <c r="AB2" s="288"/>
      <c r="AC2" s="288"/>
      <c r="AD2" s="288"/>
      <c r="AF2" s="454" t="s">
        <v>96</v>
      </c>
      <c r="AG2" s="454"/>
      <c r="AH2" s="454"/>
      <c r="AI2" s="5"/>
      <c r="AJ2" s="46">
        <f>IF((BC66+IF(D2&lt;&gt;0,200,0))&gt;16000,16000, (BC66+IF(D2&lt;&gt;0,200,0)))</f>
        <v>0</v>
      </c>
      <c r="AK2" s="288"/>
      <c r="AL2" s="288"/>
      <c r="AM2" s="288"/>
      <c r="AN2" s="288"/>
      <c r="AO2" s="288"/>
      <c r="AP2" s="288"/>
      <c r="AQ2" s="288"/>
      <c r="AR2" s="288"/>
      <c r="AS2" s="288"/>
      <c r="AT2" s="28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290"/>
      <c r="AK3" s="11"/>
      <c r="AL3" s="11"/>
      <c r="AM3" s="11"/>
      <c r="AN3" s="11"/>
      <c r="AO3" s="11"/>
      <c r="AP3" s="11"/>
      <c r="AQ3" s="11"/>
      <c r="AR3" s="11"/>
      <c r="AS3" s="11"/>
      <c r="AT3" s="11"/>
      <c r="AU3" s="22"/>
    </row>
    <row r="4" spans="1:58" ht="15.75" thickBot="1" x14ac:dyDescent="0.3">
      <c r="A4" s="19"/>
      <c r="B4" s="292"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75" customHeight="1" thickBot="1" x14ac:dyDescent="0.3">
      <c r="A6" s="19"/>
      <c r="B6" s="292"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290"/>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290"/>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289"/>
      <c r="AL8" s="289"/>
      <c r="AM8" s="289"/>
      <c r="AN8" s="289"/>
      <c r="AO8" s="289"/>
      <c r="AP8" s="289"/>
      <c r="AQ8" s="289"/>
      <c r="AR8" s="289"/>
      <c r="AS8" s="289"/>
      <c r="AT8" s="289"/>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288"/>
      <c r="F11" s="288"/>
      <c r="G11" s="288"/>
      <c r="H11" s="288"/>
      <c r="I11" s="288"/>
      <c r="J11" s="288"/>
      <c r="K11" s="288"/>
      <c r="L11" s="288"/>
      <c r="M11" s="288"/>
      <c r="N11" s="288"/>
      <c r="R11" s="5"/>
      <c r="T11" s="5"/>
      <c r="U11" s="288"/>
      <c r="V11" s="288"/>
      <c r="W11" s="288"/>
      <c r="X11" s="288"/>
      <c r="Y11" s="288"/>
      <c r="Z11" s="288"/>
      <c r="AA11" s="288"/>
      <c r="AB11" s="288"/>
      <c r="AC11" s="288"/>
      <c r="AD11" s="288"/>
      <c r="AF11" s="72"/>
      <c r="AG11" s="72"/>
      <c r="AH11" s="72"/>
      <c r="AI11" s="5"/>
      <c r="AJ11" s="5"/>
      <c r="AK11" s="288"/>
      <c r="AL11" s="288"/>
      <c r="AM11" s="288"/>
      <c r="AN11" s="288"/>
      <c r="AO11" s="288"/>
      <c r="AP11" s="288"/>
      <c r="AQ11" s="288"/>
      <c r="AR11" s="288"/>
      <c r="AS11" s="288"/>
      <c r="AT11" s="28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288"/>
      <c r="F13" s="288"/>
      <c r="G13" s="288"/>
      <c r="H13" s="288"/>
      <c r="I13" s="288"/>
      <c r="J13" s="288"/>
      <c r="K13" s="288"/>
      <c r="L13" s="288"/>
      <c r="M13" s="288"/>
      <c r="N13" s="288"/>
      <c r="R13" s="5"/>
      <c r="T13" s="5"/>
      <c r="U13" s="288"/>
      <c r="V13" s="288"/>
      <c r="W13" s="288"/>
      <c r="X13" s="288"/>
      <c r="Y13" s="288"/>
      <c r="Z13" s="288"/>
      <c r="AA13" s="288"/>
      <c r="AB13" s="288"/>
      <c r="AC13" s="288"/>
      <c r="AD13" s="288"/>
      <c r="AF13" s="72"/>
      <c r="AG13" s="72"/>
      <c r="AH13" s="72"/>
      <c r="AI13" s="5"/>
      <c r="AJ13" s="5"/>
      <c r="AK13" s="288"/>
      <c r="AL13" s="288"/>
      <c r="AM13" s="288"/>
      <c r="AN13" s="288"/>
      <c r="AO13" s="288"/>
      <c r="AP13" s="288"/>
      <c r="AQ13" s="288"/>
      <c r="AR13" s="288"/>
      <c r="AS13" s="288"/>
      <c r="AT13" s="28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292" t="s">
        <v>16</v>
      </c>
      <c r="Q14" s="292"/>
      <c r="R14" s="292"/>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288"/>
      <c r="F15" s="288"/>
      <c r="G15" s="288"/>
      <c r="H15" s="288"/>
      <c r="I15" s="288"/>
      <c r="J15" s="288"/>
      <c r="K15" s="288"/>
      <c r="L15" s="288"/>
      <c r="M15" s="288"/>
      <c r="N15" s="288"/>
      <c r="P15" s="72"/>
      <c r="Q15" s="72"/>
      <c r="R15" s="72"/>
      <c r="T15" s="5"/>
      <c r="U15" s="288"/>
      <c r="V15" s="288"/>
      <c r="W15" s="288"/>
      <c r="X15" s="288"/>
      <c r="Y15" s="288"/>
      <c r="Z15" s="288"/>
      <c r="AA15" s="288"/>
      <c r="AB15" s="288"/>
      <c r="AC15" s="288"/>
      <c r="AD15" s="288"/>
      <c r="AF15" s="72"/>
      <c r="AG15" s="72"/>
      <c r="AH15" s="72"/>
      <c r="AI15" s="5"/>
      <c r="AJ15" s="5"/>
      <c r="AK15" s="288"/>
      <c r="AL15" s="288"/>
      <c r="AM15" s="288"/>
      <c r="AN15" s="288"/>
      <c r="AO15" s="288"/>
      <c r="AP15" s="288"/>
      <c r="AQ15" s="288"/>
      <c r="AR15" s="288"/>
      <c r="AS15" s="288"/>
      <c r="AT15" s="28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292" t="s">
        <v>17</v>
      </c>
      <c r="Q16" s="292"/>
      <c r="R16" s="292"/>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288"/>
      <c r="F17" s="288"/>
      <c r="G17" s="288"/>
      <c r="H17" s="288"/>
      <c r="I17" s="288"/>
      <c r="J17" s="288"/>
      <c r="K17" s="288"/>
      <c r="L17" s="288"/>
      <c r="M17" s="288"/>
      <c r="N17" s="288"/>
      <c r="P17" s="72"/>
      <c r="Q17" s="72"/>
      <c r="R17" s="72"/>
      <c r="T17" s="5"/>
      <c r="U17" s="288"/>
      <c r="V17" s="288"/>
      <c r="W17" s="288"/>
      <c r="X17" s="288"/>
      <c r="Y17" s="288"/>
      <c r="Z17" s="288"/>
      <c r="AA17" s="288"/>
      <c r="AB17" s="288"/>
      <c r="AC17" s="288"/>
      <c r="AD17" s="288"/>
      <c r="AF17" s="72"/>
      <c r="AG17" s="72"/>
      <c r="AH17" s="72"/>
      <c r="AI17" s="5"/>
      <c r="AJ17" s="5"/>
      <c r="AK17" s="288"/>
      <c r="AL17" s="288"/>
      <c r="AM17" s="288"/>
      <c r="AN17" s="288"/>
      <c r="AO17" s="288"/>
      <c r="AP17" s="288"/>
      <c r="AQ17" s="288"/>
      <c r="AR17" s="288"/>
      <c r="AS17" s="288"/>
      <c r="AT17" s="28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292" t="s">
        <v>18</v>
      </c>
      <c r="Q18" s="292"/>
      <c r="R18" s="292"/>
      <c r="T18" s="57"/>
      <c r="U18" s="73">
        <v>1</v>
      </c>
      <c r="V18" s="73">
        <v>1</v>
      </c>
      <c r="W18" s="73"/>
      <c r="X18" s="73"/>
      <c r="Y18" s="73"/>
      <c r="Z18" s="73">
        <v>1</v>
      </c>
      <c r="AA18" s="73">
        <v>500</v>
      </c>
      <c r="AB18" s="73"/>
      <c r="AC18" s="73"/>
      <c r="AD18" s="73"/>
      <c r="AF18" s="292" t="s">
        <v>33</v>
      </c>
      <c r="AG18" s="292"/>
      <c r="AH18" s="292"/>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288"/>
      <c r="F19" s="288"/>
      <c r="G19" s="288"/>
      <c r="H19" s="288"/>
      <c r="I19" s="288"/>
      <c r="J19" s="288"/>
      <c r="K19" s="288"/>
      <c r="L19" s="288"/>
      <c r="M19" s="288"/>
      <c r="N19" s="288"/>
      <c r="P19" s="72"/>
      <c r="Q19" s="72"/>
      <c r="R19" s="72"/>
      <c r="T19" s="5"/>
      <c r="U19" s="288"/>
      <c r="V19" s="288"/>
      <c r="W19" s="288"/>
      <c r="X19" s="288"/>
      <c r="Y19" s="288"/>
      <c r="Z19" s="288"/>
      <c r="AA19" s="288"/>
      <c r="AB19" s="288"/>
      <c r="AC19" s="288"/>
      <c r="AD19" s="288"/>
      <c r="AF19" s="72"/>
      <c r="AG19" s="72"/>
      <c r="AH19" s="72"/>
      <c r="AI19" s="5"/>
      <c r="AJ19" s="5"/>
      <c r="AK19" s="288"/>
      <c r="AL19" s="288"/>
      <c r="AM19" s="288"/>
      <c r="AN19" s="288"/>
      <c r="AO19" s="288"/>
      <c r="AP19" s="288"/>
      <c r="AQ19" s="288"/>
      <c r="AR19" s="288"/>
      <c r="AS19" s="288"/>
      <c r="AT19" s="28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292" t="s">
        <v>19</v>
      </c>
      <c r="Q20" s="292"/>
      <c r="R20" s="292"/>
      <c r="T20" s="57"/>
      <c r="U20" s="73"/>
      <c r="V20" s="73">
        <v>2</v>
      </c>
      <c r="W20" s="73">
        <v>2</v>
      </c>
      <c r="X20" s="73"/>
      <c r="Y20" s="73">
        <v>-2</v>
      </c>
      <c r="Z20" s="73">
        <v>1</v>
      </c>
      <c r="AA20" s="73"/>
      <c r="AB20" s="73"/>
      <c r="AC20" s="73"/>
      <c r="AD20" s="73"/>
      <c r="AF20" s="292" t="s">
        <v>34</v>
      </c>
      <c r="AG20" s="292"/>
      <c r="AH20" s="292"/>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288"/>
      <c r="F21" s="288"/>
      <c r="G21" s="288"/>
      <c r="H21" s="288"/>
      <c r="I21" s="288"/>
      <c r="J21" s="288"/>
      <c r="K21" s="288"/>
      <c r="L21" s="288"/>
      <c r="M21" s="288"/>
      <c r="N21" s="288"/>
      <c r="P21" s="72"/>
      <c r="Q21" s="72"/>
      <c r="R21" s="72"/>
      <c r="T21" s="5"/>
      <c r="U21" s="288"/>
      <c r="V21" s="288"/>
      <c r="W21" s="288"/>
      <c r="X21" s="288"/>
      <c r="Y21" s="288"/>
      <c r="Z21" s="288"/>
      <c r="AA21" s="288"/>
      <c r="AB21" s="288"/>
      <c r="AC21" s="288"/>
      <c r="AD21" s="288"/>
      <c r="AF21" s="72"/>
      <c r="AG21" s="72"/>
      <c r="AH21" s="72"/>
      <c r="AI21" s="5"/>
      <c r="AJ21" s="5"/>
      <c r="AK21" s="288"/>
      <c r="AL21" s="288"/>
      <c r="AM21" s="288"/>
      <c r="AN21" s="288"/>
      <c r="AO21" s="288"/>
      <c r="AP21" s="288"/>
      <c r="AQ21" s="288"/>
      <c r="AR21" s="288"/>
      <c r="AS21" s="288"/>
      <c r="AT21" s="28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292" t="s">
        <v>20</v>
      </c>
      <c r="Q22" s="292"/>
      <c r="R22" s="292"/>
      <c r="T22" s="57"/>
      <c r="U22" s="73">
        <v>1</v>
      </c>
      <c r="V22" s="73">
        <v>1</v>
      </c>
      <c r="W22" s="73"/>
      <c r="X22" s="73"/>
      <c r="Y22" s="73"/>
      <c r="Z22" s="73">
        <v>1</v>
      </c>
      <c r="AA22" s="73"/>
      <c r="AB22" s="73"/>
      <c r="AC22" s="73"/>
      <c r="AD22" s="73"/>
      <c r="AF22" s="292" t="s">
        <v>35</v>
      </c>
      <c r="AG22" s="292"/>
      <c r="AH22" s="292"/>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288"/>
      <c r="F23" s="288"/>
      <c r="G23" s="288"/>
      <c r="H23" s="288"/>
      <c r="I23" s="288"/>
      <c r="J23" s="288"/>
      <c r="K23" s="288"/>
      <c r="L23" s="288"/>
      <c r="M23" s="288"/>
      <c r="N23" s="288"/>
      <c r="O23" s="11"/>
      <c r="P23" s="72"/>
      <c r="Q23" s="72"/>
      <c r="R23" s="72"/>
      <c r="T23" s="11"/>
      <c r="U23" s="288"/>
      <c r="V23" s="288"/>
      <c r="W23" s="288"/>
      <c r="X23" s="288"/>
      <c r="Y23" s="288"/>
      <c r="Z23" s="288"/>
      <c r="AA23" s="288"/>
      <c r="AB23" s="288"/>
      <c r="AC23" s="288"/>
      <c r="AD23" s="288"/>
      <c r="AF23" s="72"/>
      <c r="AG23" s="72"/>
      <c r="AH23" s="72"/>
      <c r="AI23" s="5"/>
      <c r="AJ23" s="5"/>
      <c r="AK23" s="288"/>
      <c r="AL23" s="288"/>
      <c r="AM23" s="288"/>
      <c r="AN23" s="288"/>
      <c r="AO23" s="288"/>
      <c r="AP23" s="288"/>
      <c r="AQ23" s="288"/>
      <c r="AR23" s="288"/>
      <c r="AS23" s="288"/>
      <c r="AT23" s="28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292" t="s">
        <v>21</v>
      </c>
      <c r="Q24" s="292"/>
      <c r="R24" s="292"/>
      <c r="T24" s="57"/>
      <c r="U24" s="73">
        <v>1</v>
      </c>
      <c r="V24" s="73"/>
      <c r="W24" s="73"/>
      <c r="X24" s="73"/>
      <c r="Y24" s="73"/>
      <c r="Z24" s="73">
        <v>1</v>
      </c>
      <c r="AA24" s="73">
        <v>2000</v>
      </c>
      <c r="AB24" s="73">
        <v>2</v>
      </c>
      <c r="AC24" s="73"/>
      <c r="AD24" s="73"/>
      <c r="AF24" s="292" t="s">
        <v>36</v>
      </c>
      <c r="AG24" s="292"/>
      <c r="AH24" s="292"/>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291"/>
      <c r="F25" s="291"/>
      <c r="G25" s="291"/>
      <c r="H25" s="291"/>
      <c r="I25" s="291"/>
      <c r="J25" s="291"/>
      <c r="K25" s="291"/>
      <c r="L25" s="291"/>
      <c r="M25" s="291"/>
      <c r="N25" s="291"/>
      <c r="P25" s="72"/>
      <c r="Q25" s="72"/>
      <c r="R25" s="72"/>
      <c r="T25" s="5"/>
      <c r="U25" s="291"/>
      <c r="V25" s="291"/>
      <c r="W25" s="291"/>
      <c r="X25" s="291"/>
      <c r="Y25" s="291"/>
      <c r="Z25" s="291"/>
      <c r="AA25" s="291"/>
      <c r="AB25" s="291"/>
      <c r="AC25" s="291"/>
      <c r="AD25" s="291"/>
      <c r="AF25" s="72"/>
      <c r="AG25" s="72"/>
      <c r="AH25" s="72"/>
      <c r="AI25" s="5"/>
      <c r="AJ25" s="5"/>
      <c r="AK25" s="291"/>
      <c r="AL25" s="291"/>
      <c r="AM25" s="291"/>
      <c r="AN25" s="291"/>
      <c r="AO25" s="291"/>
      <c r="AP25" s="291"/>
      <c r="AQ25" s="291"/>
      <c r="AR25" s="291"/>
      <c r="AS25" s="291"/>
      <c r="AT25" s="291"/>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292" t="s">
        <v>37</v>
      </c>
      <c r="AG26" s="292"/>
      <c r="AH26" s="292"/>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288"/>
      <c r="F27" s="288"/>
      <c r="G27" s="288"/>
      <c r="H27" s="288"/>
      <c r="I27" s="288"/>
      <c r="J27" s="288">
        <v>4</v>
      </c>
      <c r="K27" s="288"/>
      <c r="L27" s="288"/>
      <c r="M27" s="288"/>
      <c r="N27" s="288"/>
      <c r="P27" s="62"/>
      <c r="Q27" s="62"/>
      <c r="R27" s="62"/>
      <c r="T27" s="5"/>
      <c r="U27" s="288"/>
      <c r="V27" s="288"/>
      <c r="W27" s="288"/>
      <c r="X27" s="288"/>
      <c r="Y27" s="288"/>
      <c r="Z27" s="288"/>
      <c r="AA27" s="288"/>
      <c r="AB27" s="288"/>
      <c r="AC27" s="288"/>
      <c r="AD27" s="288"/>
      <c r="AF27" s="72"/>
      <c r="AG27" s="72"/>
      <c r="AH27" s="72"/>
      <c r="AI27" s="5"/>
      <c r="AJ27" s="5"/>
      <c r="AK27" s="288"/>
      <c r="AL27" s="288"/>
      <c r="AM27" s="288"/>
      <c r="AN27" s="288"/>
      <c r="AO27" s="288"/>
      <c r="AP27" s="288"/>
      <c r="AQ27" s="288"/>
      <c r="AR27" s="288"/>
      <c r="AS27" s="288"/>
      <c r="AT27" s="28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292" t="s">
        <v>23</v>
      </c>
      <c r="Q28" s="292"/>
      <c r="R28" s="292"/>
      <c r="T28" s="57"/>
      <c r="U28" s="73"/>
      <c r="V28" s="73"/>
      <c r="W28" s="73">
        <v>1</v>
      </c>
      <c r="X28" s="73"/>
      <c r="Y28" s="73"/>
      <c r="Z28" s="73">
        <v>1</v>
      </c>
      <c r="AA28" s="73"/>
      <c r="AB28" s="73"/>
      <c r="AC28" s="73"/>
      <c r="AD28" s="73"/>
      <c r="AF28" s="292" t="s">
        <v>38</v>
      </c>
      <c r="AG28" s="292"/>
      <c r="AH28" s="292"/>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288"/>
      <c r="F29" s="288"/>
      <c r="G29" s="288"/>
      <c r="H29" s="288"/>
      <c r="I29" s="288"/>
      <c r="J29" s="288"/>
      <c r="K29" s="288"/>
      <c r="L29" s="288"/>
      <c r="M29" s="288"/>
      <c r="N29" s="288"/>
      <c r="P29" s="72"/>
      <c r="Q29" s="72"/>
      <c r="R29" s="72"/>
      <c r="T29" s="5"/>
      <c r="U29" s="288"/>
      <c r="V29" s="288"/>
      <c r="W29" s="288"/>
      <c r="X29" s="288"/>
      <c r="Y29" s="288"/>
      <c r="Z29" s="288"/>
      <c r="AA29" s="288"/>
      <c r="AB29" s="288"/>
      <c r="AC29" s="288"/>
      <c r="AD29" s="288"/>
      <c r="AF29" s="72"/>
      <c r="AG29" s="72"/>
      <c r="AH29" s="72"/>
      <c r="AI29" s="5"/>
      <c r="AJ29" s="5"/>
      <c r="AK29" s="288"/>
      <c r="AL29" s="288"/>
      <c r="AM29" s="288"/>
      <c r="AN29" s="288"/>
      <c r="AO29" s="288"/>
      <c r="AP29" s="288"/>
      <c r="AQ29" s="288"/>
      <c r="AR29" s="288"/>
      <c r="AS29" s="288"/>
      <c r="AT29" s="28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292" t="s">
        <v>24</v>
      </c>
      <c r="Q30" s="292"/>
      <c r="R30" s="292"/>
      <c r="T30" s="57"/>
      <c r="U30" s="73">
        <v>2</v>
      </c>
      <c r="V30" s="73"/>
      <c r="W30" s="73">
        <v>2</v>
      </c>
      <c r="X30" s="73"/>
      <c r="Y30" s="73"/>
      <c r="Z30" s="73">
        <v>2</v>
      </c>
      <c r="AA30" s="73">
        <v>2000</v>
      </c>
      <c r="AB30" s="73">
        <v>2</v>
      </c>
      <c r="AC30" s="73"/>
      <c r="AD30" s="73"/>
      <c r="AF30" s="292" t="s">
        <v>39</v>
      </c>
      <c r="AG30" s="292"/>
      <c r="AH30" s="292"/>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288"/>
      <c r="F31" s="288"/>
      <c r="G31" s="288"/>
      <c r="H31" s="288"/>
      <c r="I31" s="288"/>
      <c r="J31" s="288"/>
      <c r="K31" s="288"/>
      <c r="L31" s="288"/>
      <c r="M31" s="288"/>
      <c r="N31" s="288"/>
      <c r="P31" s="72"/>
      <c r="Q31" s="72"/>
      <c r="R31" s="72"/>
      <c r="T31" s="5"/>
      <c r="U31" s="288"/>
      <c r="V31" s="288"/>
      <c r="W31" s="288"/>
      <c r="X31" s="288"/>
      <c r="Y31" s="288"/>
      <c r="Z31" s="288"/>
      <c r="AA31" s="288"/>
      <c r="AB31" s="288"/>
      <c r="AC31" s="288"/>
      <c r="AD31" s="288"/>
      <c r="AF31" s="72"/>
      <c r="AG31" s="72"/>
      <c r="AH31" s="72"/>
      <c r="AI31" s="5"/>
      <c r="AJ31" s="5"/>
      <c r="AK31" s="288"/>
      <c r="AL31" s="288"/>
      <c r="AM31" s="288"/>
      <c r="AN31" s="288"/>
      <c r="AO31" s="288"/>
      <c r="AP31" s="288"/>
      <c r="AQ31" s="288"/>
      <c r="AR31" s="288"/>
      <c r="AS31" s="288"/>
      <c r="AT31" s="28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292" t="s">
        <v>25</v>
      </c>
      <c r="Q32" s="292"/>
      <c r="R32" s="292"/>
      <c r="T32" s="57"/>
      <c r="U32" s="73">
        <v>1</v>
      </c>
      <c r="V32" s="73"/>
      <c r="W32" s="73">
        <v>1</v>
      </c>
      <c r="X32" s="73"/>
      <c r="Y32" s="73"/>
      <c r="Z32" s="73">
        <v>1</v>
      </c>
      <c r="AA32" s="73"/>
      <c r="AB32" s="73"/>
      <c r="AC32" s="73"/>
      <c r="AD32" s="73"/>
      <c r="AF32" s="292" t="s">
        <v>40</v>
      </c>
      <c r="AG32" s="292"/>
      <c r="AH32" s="292"/>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288"/>
      <c r="F33" s="288"/>
      <c r="G33" s="288"/>
      <c r="H33" s="288"/>
      <c r="I33" s="288"/>
      <c r="J33" s="288"/>
      <c r="K33" s="288"/>
      <c r="L33" s="288"/>
      <c r="M33" s="288"/>
      <c r="N33" s="288"/>
      <c r="P33" s="72"/>
      <c r="Q33" s="72"/>
      <c r="R33" s="72"/>
      <c r="T33" s="5"/>
      <c r="U33" s="288"/>
      <c r="V33" s="288"/>
      <c r="W33" s="288"/>
      <c r="X33" s="288"/>
      <c r="Y33" s="288"/>
      <c r="Z33" s="288"/>
      <c r="AA33" s="288"/>
      <c r="AB33" s="288"/>
      <c r="AC33" s="288"/>
      <c r="AD33" s="288"/>
      <c r="AF33" s="72"/>
      <c r="AG33" s="72"/>
      <c r="AH33" s="72"/>
      <c r="AI33" s="5"/>
      <c r="AJ33" s="5"/>
      <c r="AK33" s="288"/>
      <c r="AL33" s="288"/>
      <c r="AM33" s="288"/>
      <c r="AN33" s="288"/>
      <c r="AO33" s="288"/>
      <c r="AP33" s="288"/>
      <c r="AQ33" s="288"/>
      <c r="AR33" s="288"/>
      <c r="AS33" s="288"/>
      <c r="AT33" s="28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292" t="s">
        <v>26</v>
      </c>
      <c r="Q34" s="292"/>
      <c r="R34" s="292"/>
      <c r="T34" s="57"/>
      <c r="U34" s="73"/>
      <c r="V34" s="73">
        <v>3</v>
      </c>
      <c r="W34" s="73"/>
      <c r="X34" s="73"/>
      <c r="Y34" s="73">
        <v>-1</v>
      </c>
      <c r="Z34" s="73">
        <v>1</v>
      </c>
      <c r="AA34" s="73"/>
      <c r="AB34" s="73"/>
      <c r="AC34" s="73"/>
      <c r="AD34" s="73"/>
      <c r="AF34" s="292" t="s">
        <v>41</v>
      </c>
      <c r="AG34" s="292"/>
      <c r="AH34" s="292"/>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288"/>
      <c r="F35" s="288"/>
      <c r="G35" s="288"/>
      <c r="H35" s="288"/>
      <c r="I35" s="288"/>
      <c r="J35" s="288"/>
      <c r="K35" s="288"/>
      <c r="L35" s="288"/>
      <c r="M35" s="288"/>
      <c r="N35" s="288"/>
      <c r="P35" s="72"/>
      <c r="Q35" s="72"/>
      <c r="R35" s="72"/>
      <c r="T35" s="5"/>
      <c r="U35" s="288"/>
      <c r="V35" s="288"/>
      <c r="W35" s="288"/>
      <c r="X35" s="288"/>
      <c r="Y35" s="288"/>
      <c r="Z35" s="288"/>
      <c r="AA35" s="288"/>
      <c r="AB35" s="288"/>
      <c r="AC35" s="288"/>
      <c r="AD35" s="288"/>
      <c r="AF35" s="72"/>
      <c r="AG35" s="72"/>
      <c r="AH35" s="72"/>
      <c r="AI35" s="5"/>
      <c r="AJ35" s="5"/>
      <c r="AK35" s="288"/>
      <c r="AL35" s="288"/>
      <c r="AM35" s="288"/>
      <c r="AN35" s="288"/>
      <c r="AO35" s="288"/>
      <c r="AP35" s="288"/>
      <c r="AQ35" s="288"/>
      <c r="AR35" s="288"/>
      <c r="AS35" s="288"/>
      <c r="AT35" s="28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292" t="s">
        <v>27</v>
      </c>
      <c r="Q36" s="292"/>
      <c r="R36" s="292"/>
      <c r="T36" s="57"/>
      <c r="U36" s="73">
        <v>1</v>
      </c>
      <c r="V36" s="73">
        <v>1</v>
      </c>
      <c r="W36" s="73">
        <v>1</v>
      </c>
      <c r="X36" s="73"/>
      <c r="Y36" s="73"/>
      <c r="Z36" s="73">
        <v>2</v>
      </c>
      <c r="AA36" s="73"/>
      <c r="AB36" s="73"/>
      <c r="AC36" s="73"/>
      <c r="AD36" s="73"/>
      <c r="AF36" s="292" t="s">
        <v>42</v>
      </c>
      <c r="AG36" s="292"/>
      <c r="AH36" s="292"/>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288"/>
      <c r="F37" s="288"/>
      <c r="G37" s="288"/>
      <c r="H37" s="288"/>
      <c r="I37" s="288"/>
      <c r="J37" s="288"/>
      <c r="K37" s="288"/>
      <c r="L37" s="288"/>
      <c r="M37" s="288"/>
      <c r="N37" s="288"/>
      <c r="P37" s="72"/>
      <c r="Q37" s="72"/>
      <c r="R37" s="72"/>
      <c r="T37" s="5"/>
      <c r="U37" s="288"/>
      <c r="V37" s="288"/>
      <c r="W37" s="288"/>
      <c r="X37" s="288"/>
      <c r="Y37" s="288"/>
      <c r="Z37" s="288"/>
      <c r="AA37" s="288"/>
      <c r="AB37" s="288"/>
      <c r="AC37" s="288"/>
      <c r="AD37" s="288"/>
      <c r="AF37" s="72"/>
      <c r="AG37" s="72"/>
      <c r="AH37" s="72"/>
      <c r="AI37" s="5"/>
      <c r="AJ37" s="5"/>
      <c r="AK37" s="288"/>
      <c r="AL37" s="288"/>
      <c r="AM37" s="288"/>
      <c r="AN37" s="288"/>
      <c r="AO37" s="288"/>
      <c r="AP37" s="288"/>
      <c r="AQ37" s="288"/>
      <c r="AR37" s="288"/>
      <c r="AS37" s="288"/>
      <c r="AT37" s="28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292" t="s">
        <v>28</v>
      </c>
      <c r="Q38" s="292"/>
      <c r="R38" s="292"/>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290"/>
      <c r="AX39" s="290"/>
      <c r="AY39" s="290"/>
      <c r="AZ39" s="290"/>
      <c r="BA39" s="290"/>
      <c r="BB39" s="290">
        <f t="shared" si="0"/>
        <v>0</v>
      </c>
      <c r="BC39" s="290"/>
      <c r="BD39" s="290"/>
      <c r="BE39" s="290"/>
      <c r="BF39" s="290"/>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289"/>
      <c r="AL40" s="289"/>
      <c r="AM40" s="289"/>
      <c r="AN40" s="289"/>
      <c r="AO40" s="289"/>
      <c r="AP40" s="289"/>
      <c r="AQ40" s="289"/>
      <c r="AR40" s="289"/>
      <c r="AS40" s="289"/>
      <c r="AT40" s="289"/>
      <c r="AU40" s="18"/>
    </row>
    <row r="41" spans="1:60" ht="3" customHeight="1" thickBot="1" x14ac:dyDescent="0.3">
      <c r="A41" s="19"/>
      <c r="B41" s="72"/>
      <c r="D41" s="5"/>
      <c r="E41" s="288"/>
      <c r="F41" s="288"/>
      <c r="G41" s="288"/>
      <c r="H41" s="288"/>
      <c r="I41" s="288"/>
      <c r="J41" s="288">
        <v>4</v>
      </c>
      <c r="K41" s="288"/>
      <c r="L41" s="288"/>
      <c r="M41" s="288"/>
      <c r="N41" s="288"/>
      <c r="P41" s="62"/>
      <c r="Q41" s="62"/>
      <c r="R41" s="62"/>
      <c r="T41" s="5"/>
      <c r="U41" s="288"/>
      <c r="V41" s="288"/>
      <c r="W41" s="288"/>
      <c r="X41" s="288"/>
      <c r="Y41" s="288"/>
      <c r="Z41" s="288"/>
      <c r="AA41" s="288"/>
      <c r="AB41" s="288"/>
      <c r="AC41" s="288"/>
      <c r="AD41" s="288"/>
      <c r="AF41" s="72"/>
      <c r="AG41" s="72"/>
      <c r="AH41" s="72"/>
      <c r="AI41" s="5"/>
      <c r="AJ41" s="5"/>
      <c r="AK41" s="288"/>
      <c r="AL41" s="288"/>
      <c r="AM41" s="288"/>
      <c r="AN41" s="288"/>
      <c r="AO41" s="288"/>
      <c r="AP41" s="288"/>
      <c r="AQ41" s="288"/>
      <c r="AR41" s="288"/>
      <c r="AS41" s="288"/>
      <c r="AT41" s="288"/>
      <c r="AU41" s="18"/>
      <c r="AW41" s="290"/>
      <c r="AX41" s="290"/>
      <c r="AY41" s="290"/>
      <c r="AZ41" s="290"/>
      <c r="BA41" s="290"/>
      <c r="BB41" s="290">
        <f t="shared" ref="BB41:BB48" si="1">$D41*J41+$T41*Z41+$AJ41*AP41</f>
        <v>0</v>
      </c>
      <c r="BC41" s="290"/>
      <c r="BD41" s="290"/>
      <c r="BE41" s="290"/>
      <c r="BF41" s="290"/>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288"/>
      <c r="F43" s="288"/>
      <c r="G43" s="288"/>
      <c r="H43" s="288"/>
      <c r="I43" s="288"/>
      <c r="J43" s="288"/>
      <c r="K43" s="288"/>
      <c r="L43" s="288"/>
      <c r="M43" s="288"/>
      <c r="N43" s="288"/>
      <c r="P43" s="72"/>
      <c r="Q43" s="72"/>
      <c r="R43" s="72"/>
      <c r="T43" s="5"/>
      <c r="U43" s="288"/>
      <c r="V43" s="288"/>
      <c r="W43" s="288"/>
      <c r="X43" s="288"/>
      <c r="Y43" s="288"/>
      <c r="Z43" s="288"/>
      <c r="AA43" s="288"/>
      <c r="AB43" s="288"/>
      <c r="AC43" s="288"/>
      <c r="AD43" s="288"/>
      <c r="AF43" s="72"/>
      <c r="AG43" s="72"/>
      <c r="AH43" s="72"/>
      <c r="AI43" s="5"/>
      <c r="AJ43" s="5"/>
      <c r="AK43" s="288"/>
      <c r="AL43" s="288"/>
      <c r="AM43" s="288"/>
      <c r="AN43" s="288"/>
      <c r="AO43" s="288"/>
      <c r="AP43" s="288"/>
      <c r="AQ43" s="288"/>
      <c r="AR43" s="288"/>
      <c r="AS43" s="288"/>
      <c r="AT43" s="28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288"/>
      <c r="F45" s="288"/>
      <c r="G45" s="288"/>
      <c r="H45" s="288"/>
      <c r="I45" s="288"/>
      <c r="J45" s="288"/>
      <c r="K45" s="288"/>
      <c r="L45" s="288"/>
      <c r="M45" s="288"/>
      <c r="N45" s="288"/>
      <c r="P45" s="72"/>
      <c r="Q45" s="72"/>
      <c r="R45" s="72"/>
      <c r="T45" s="5"/>
      <c r="U45" s="288"/>
      <c r="V45" s="288"/>
      <c r="W45" s="288"/>
      <c r="X45" s="288"/>
      <c r="Y45" s="288"/>
      <c r="Z45" s="288"/>
      <c r="AA45" s="288"/>
      <c r="AB45" s="288"/>
      <c r="AC45" s="288"/>
      <c r="AD45" s="288"/>
      <c r="AF45" s="72"/>
      <c r="AG45" s="72"/>
      <c r="AH45" s="72"/>
      <c r="AI45" s="5"/>
      <c r="AJ45" s="5"/>
      <c r="AK45" s="288"/>
      <c r="AL45" s="288"/>
      <c r="AM45" s="288"/>
      <c r="AN45" s="288"/>
      <c r="AO45" s="288"/>
      <c r="AP45" s="288"/>
      <c r="AQ45" s="288"/>
      <c r="AR45" s="288"/>
      <c r="AS45" s="288"/>
      <c r="AT45" s="28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288"/>
      <c r="F47" s="288"/>
      <c r="G47" s="288"/>
      <c r="H47" s="288"/>
      <c r="I47" s="288"/>
      <c r="J47" s="288"/>
      <c r="K47" s="288"/>
      <c r="L47" s="288"/>
      <c r="M47" s="288"/>
      <c r="N47" s="288"/>
      <c r="P47" s="72"/>
      <c r="Q47" s="72"/>
      <c r="R47" s="72"/>
      <c r="T47" s="5"/>
      <c r="U47" s="288"/>
      <c r="V47" s="288"/>
      <c r="W47" s="288"/>
      <c r="X47" s="288"/>
      <c r="Y47" s="288"/>
      <c r="Z47" s="288"/>
      <c r="AA47" s="288"/>
      <c r="AB47" s="288"/>
      <c r="AC47" s="288"/>
      <c r="AD47" s="288"/>
      <c r="AF47" s="72"/>
      <c r="AG47" s="72"/>
      <c r="AH47" s="72"/>
      <c r="AI47" s="5"/>
      <c r="AJ47" s="5"/>
      <c r="AK47" s="288"/>
      <c r="AL47" s="288"/>
      <c r="AM47" s="288"/>
      <c r="AN47" s="288"/>
      <c r="AO47" s="288"/>
      <c r="AP47" s="288"/>
      <c r="AQ47" s="288"/>
      <c r="AR47" s="288"/>
      <c r="AS47" s="288"/>
      <c r="AT47" s="28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290"/>
      <c r="AX49" s="290"/>
      <c r="AY49" s="290"/>
      <c r="AZ49" s="290"/>
      <c r="BA49" s="290"/>
      <c r="BB49" s="290">
        <f t="shared" si="0"/>
        <v>0</v>
      </c>
      <c r="BC49" s="290"/>
      <c r="BD49" s="290"/>
      <c r="BE49" s="290"/>
      <c r="BF49" s="290"/>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289"/>
      <c r="AL50" s="289"/>
      <c r="AM50" s="289"/>
      <c r="AN50" s="289"/>
      <c r="AO50" s="289"/>
      <c r="AP50" s="289"/>
      <c r="AQ50" s="289"/>
      <c r="AR50" s="289"/>
      <c r="AS50" s="289"/>
      <c r="AT50" s="289"/>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292"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290"/>
      <c r="AX52" s="290"/>
      <c r="AY52" s="290"/>
      <c r="AZ52" s="290"/>
      <c r="BA52" s="290"/>
      <c r="BB52" s="290"/>
      <c r="BC52" s="290"/>
      <c r="BD52" s="290"/>
      <c r="BE52" s="290"/>
      <c r="BF52" s="290"/>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290"/>
      <c r="AX53" s="290"/>
      <c r="AY53" s="290"/>
      <c r="AZ53" s="290"/>
      <c r="BA53" s="290"/>
      <c r="BB53" s="290">
        <f t="shared" ref="BB53:BB65" si="2">$D53*J53+$T53*Z53+$AJ53*AP53</f>
        <v>0</v>
      </c>
      <c r="BC53" s="290"/>
      <c r="BD53" s="290"/>
      <c r="BE53" s="290"/>
      <c r="BF53" s="290"/>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288"/>
      <c r="AL66" s="288"/>
      <c r="AM66" s="288"/>
      <c r="AN66" s="288"/>
      <c r="AO66" s="288"/>
      <c r="AP66" s="288"/>
      <c r="AQ66" s="288"/>
      <c r="AR66" s="288"/>
      <c r="AS66" s="288"/>
      <c r="AT66" s="28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B64:D64"/>
    <mergeCell ref="P64:T64"/>
    <mergeCell ref="AF64:AJ64"/>
    <mergeCell ref="B66:AJ66"/>
    <mergeCell ref="B68:AJ71"/>
    <mergeCell ref="B60:D60"/>
    <mergeCell ref="P60:T60"/>
    <mergeCell ref="AF60:AJ60"/>
    <mergeCell ref="B62:D62"/>
    <mergeCell ref="P62:T62"/>
    <mergeCell ref="AF62:AJ62"/>
    <mergeCell ref="AF14:AH14"/>
    <mergeCell ref="D2:T2"/>
    <mergeCell ref="AF2:AH2"/>
    <mergeCell ref="P4:R4"/>
    <mergeCell ref="AF4:AH4"/>
    <mergeCell ref="P6:R6"/>
    <mergeCell ref="AF6:AH6"/>
    <mergeCell ref="P12:R12"/>
    <mergeCell ref="AF12:AH12"/>
    <mergeCell ref="B8:AJ8"/>
    <mergeCell ref="P10:R10"/>
    <mergeCell ref="AF10:AH10"/>
    <mergeCell ref="P44:R44"/>
    <mergeCell ref="AF44:AH44"/>
    <mergeCell ref="P46:R46"/>
    <mergeCell ref="AF46:AH46"/>
    <mergeCell ref="AF16:AH16"/>
    <mergeCell ref="P26:R26"/>
    <mergeCell ref="B40:AJ40"/>
    <mergeCell ref="P42:R42"/>
    <mergeCell ref="AF42:AH42"/>
    <mergeCell ref="P48:R48"/>
    <mergeCell ref="AF48:AH48"/>
    <mergeCell ref="B50:AJ50"/>
    <mergeCell ref="B54:D54"/>
    <mergeCell ref="P54:T54"/>
    <mergeCell ref="AF54:AJ54"/>
    <mergeCell ref="P52:R52"/>
    <mergeCell ref="AF52:AH52"/>
    <mergeCell ref="B56:D56"/>
    <mergeCell ref="P56:T56"/>
    <mergeCell ref="AF56:AJ56"/>
    <mergeCell ref="B58:D58"/>
    <mergeCell ref="P58:T58"/>
    <mergeCell ref="AF58:AJ58"/>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Physician (10 BP)" prompt="A healer and surgery, caring for the people._x000a__x000a_+1 Loyalty, +1 Stability, -1 Unrest" sqref="AJ48"/>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Barracks (6 BP)" prompt="A building to house city guards, militia, and military forces. _x000a__x000a_Defense Modifier +2; Unrest –1." sqref="D16"/>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rothel (4 BP)" prompt="[Must be adjacent to one house]_x000a__x000a_A place to pay for companionship of any sort. _x000a__x000a_Economy +1, Loyalty +2; Unrest +1." sqref="D22"/>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Aviary (8 BP)" prompt="A building to cultivate birds to keep the area free from small pests and to send messages._x000a__x000a_Stability +2" sqref="D44"/>
    <dataValidation allowBlank="1" showInputMessage="1" showErrorMessage="1" promptTitle="Butcher (6 BP)" prompt="A building for slaughtering animals and selling meat._x000a__x000a_Loyalty +1, Economy +1" sqref="D48"/>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Graveyard (4 BP)" prompt="A plot of land to honor and bury the dead. _x000a__x000a_Loyalty +1." sqref="T10"/>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Mansion (10 BP)" prompt="A single huge manor housing a rich family and its servants. _x000a__x000a_Stability +1." sqref="T28"/>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Park (4 BP)" prompt="A plot of land set aside for its natural beauty._x000a__x000a_Loyalty +1; Unrest –1." sqref="T38"/>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Shrine (8 BP)" prompt="A small shrine or similar holy site. _x000a__x000a_1 minor item; _x000a__x000a_Loyalty +1; Unrest –1." sqref="AJ14"/>
    <dataValidation allowBlank="1" showInputMessage="1" showErrorMessage="1" promptTitle="Smith (6 BP)" prompt="An armor smith, blacksmith, or weapon smith. _x000a__x000a_Economy +1, Stability +1." sqref="AJ16"/>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Weaver (6 BP)" prompt="A building for weaving fabric and making clothes._x000a__x000a_Economy +1, Stability +1" sqref="AJ44"/>
    <dataValidation allowBlank="1" showInputMessage="1" showErrorMessage="1" promptTitle="Witches Hut (20 BP)" prompt="The home and brewery for a witch._x000a__x000a_2 minor items, 1 medium item._x000a__x000a_Economy +1, Unrest +1" sqref="AJ46"/>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Monastery (6 BP)" prompt="A place for monks to gather, train and worship._x000a__x000a_Loyalty +1, Stability +1" sqref="T48"/>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Watchtower (12 BP)" prompt="A tall structure that serves as a guard post and landmark. _x000a__x000a_+1 Stability; +2 Defense Modifier; Unrest –1." sqref="AJ34"/>
  </dataValidations>
  <printOptions horizontalCentered="1" verticalCentered="1"/>
  <pageMargins left="0.70866141732283472" right="0.70866141732283472" top="0.74803149606299213" bottom="0.74803149606299213" header="0.31496062992125984" footer="0.31496062992125984"/>
  <pageSetup paperSize="9" scale="84" orientation="portrait" r:id="rId1"/>
  <headerFooter>
    <oddHeader>&amp;A</oddHeader>
    <oddFooter>&amp;C&amp;P&amp;R&amp;D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71"/>
  <sheetViews>
    <sheetView topLeftCell="AF34" zoomScaleNormal="100" zoomScalePageLayoutView="70" workbookViewId="0">
      <selection activeCell="D2" sqref="D2:T2"/>
    </sheetView>
  </sheetViews>
  <sheetFormatPr defaultColWidth="9.140625" defaultRowHeight="15" x14ac:dyDescent="0.25"/>
  <cols>
    <col min="1" max="1" width="21.85546875" hidden="1" customWidth="1"/>
    <col min="2" max="5" width="9.140625" hidden="1" customWidth="1"/>
    <col min="6" max="7" width="2.7109375" hidden="1" customWidth="1"/>
    <col min="8" max="9" width="10" hidden="1" customWidth="1"/>
    <col min="10" max="10" width="2.7109375" hidden="1" customWidth="1"/>
    <col min="11" max="12" width="10" hidden="1" customWidth="1"/>
    <col min="13" max="13" width="2.7109375" hidden="1" customWidth="1"/>
    <col min="14" max="15" width="10" hidden="1" customWidth="1"/>
    <col min="16" max="17" width="2.7109375" hidden="1" customWidth="1"/>
    <col min="18" max="18" width="2.85546875" hidden="1" customWidth="1"/>
    <col min="19" max="20" width="2.7109375" hidden="1" customWidth="1"/>
    <col min="21" max="22" width="10" hidden="1" customWidth="1"/>
    <col min="23" max="23" width="2.7109375" hidden="1" customWidth="1"/>
    <col min="24" max="25" width="10" hidden="1" customWidth="1"/>
    <col min="26" max="26" width="2.7109375" hidden="1" customWidth="1"/>
    <col min="27" max="28" width="10" hidden="1" customWidth="1"/>
    <col min="29" max="30" width="2.7109375" hidden="1" customWidth="1"/>
    <col min="31" max="31" width="2.85546875" hidden="1" customWidth="1"/>
    <col min="32" max="33" width="2.7109375" customWidth="1"/>
    <col min="34" max="35" width="10" customWidth="1"/>
    <col min="36" max="36" width="2.7109375" customWidth="1"/>
    <col min="37" max="38" width="10" customWidth="1"/>
    <col min="39" max="39" width="2.7109375" customWidth="1"/>
    <col min="40" max="41" width="10" customWidth="1"/>
    <col min="42" max="43" width="2.7109375" customWidth="1"/>
    <col min="44" max="44" width="2.85546875" hidden="1" customWidth="1"/>
    <col min="45" max="46" width="2.7109375" hidden="1" customWidth="1"/>
    <col min="47" max="48" width="10" hidden="1" customWidth="1"/>
    <col min="49" max="49" width="2.7109375" hidden="1" customWidth="1"/>
    <col min="50" max="51" width="10" hidden="1" customWidth="1"/>
    <col min="52" max="52" width="2.7109375" hidden="1" customWidth="1"/>
    <col min="53" max="54" width="10" hidden="1" customWidth="1"/>
    <col min="55" max="56" width="2.7109375" hidden="1" customWidth="1"/>
    <col min="57" max="57" width="2.85546875" hidden="1" customWidth="1"/>
    <col min="58" max="59" width="2.7109375" hidden="1" customWidth="1"/>
    <col min="60" max="61" width="10" hidden="1" customWidth="1"/>
    <col min="62" max="62" width="2.7109375" hidden="1" customWidth="1"/>
    <col min="63" max="64" width="10" hidden="1" customWidth="1"/>
    <col min="65" max="65" width="2.7109375" hidden="1" customWidth="1"/>
    <col min="66" max="67" width="10" hidden="1" customWidth="1"/>
    <col min="68" max="69" width="2.7109375" hidden="1" customWidth="1"/>
  </cols>
  <sheetData>
    <row r="1" spans="1:69" hidden="1" x14ac:dyDescent="0.25"/>
    <row r="2" spans="1:69" hidden="1" x14ac:dyDescent="0.25"/>
    <row r="3" spans="1:69" hidden="1" x14ac:dyDescent="0.25"/>
    <row r="4" spans="1:69" hidden="1" x14ac:dyDescent="0.25"/>
    <row r="5" spans="1:69" hidden="1" x14ac:dyDescent="0.25"/>
    <row r="6" spans="1:69" hidden="1" x14ac:dyDescent="0.25"/>
    <row r="7" spans="1:69" hidden="1" x14ac:dyDescent="0.25"/>
    <row r="8" spans="1:69" ht="15.75" hidden="1" thickBot="1" x14ac:dyDescent="0.3">
      <c r="A8" s="9" t="s">
        <v>1249</v>
      </c>
      <c r="B8" s="51" t="s">
        <v>10</v>
      </c>
      <c r="C8" s="51" t="s">
        <v>1252</v>
      </c>
      <c r="G8" s="448" t="s">
        <v>1251</v>
      </c>
      <c r="H8" s="448"/>
      <c r="I8" s="448"/>
      <c r="J8" s="448"/>
      <c r="K8" s="448"/>
      <c r="L8" s="448"/>
      <c r="M8" s="448"/>
      <c r="N8" s="448"/>
      <c r="O8" s="448"/>
      <c r="P8" s="448"/>
      <c r="T8" s="448" t="s">
        <v>1251</v>
      </c>
      <c r="U8" s="448"/>
      <c r="V8" s="448"/>
      <c r="W8" s="448"/>
      <c r="X8" s="448"/>
      <c r="Y8" s="448"/>
      <c r="Z8" s="448"/>
      <c r="AA8" s="448"/>
      <c r="AB8" s="448"/>
      <c r="AC8" s="448"/>
      <c r="AG8" s="448" t="s">
        <v>1251</v>
      </c>
      <c r="AH8" s="448"/>
      <c r="AI8" s="448"/>
      <c r="AJ8" s="448"/>
      <c r="AK8" s="448"/>
      <c r="AL8" s="448"/>
      <c r="AM8" s="448"/>
      <c r="AN8" s="448"/>
      <c r="AO8" s="448"/>
      <c r="AP8" s="448"/>
      <c r="AT8" s="448" t="s">
        <v>1251</v>
      </c>
      <c r="AU8" s="448"/>
      <c r="AV8" s="448"/>
      <c r="AW8" s="448"/>
      <c r="AX8" s="448"/>
      <c r="AY8" s="448"/>
      <c r="AZ8" s="448"/>
      <c r="BA8" s="448"/>
      <c r="BB8" s="448"/>
      <c r="BC8" s="448"/>
      <c r="BG8" s="448" t="s">
        <v>1251</v>
      </c>
      <c r="BH8" s="448"/>
      <c r="BI8" s="448"/>
      <c r="BJ8" s="448"/>
      <c r="BK8" s="448"/>
      <c r="BL8" s="448"/>
      <c r="BM8" s="448"/>
      <c r="BN8" s="448"/>
      <c r="BO8" s="448"/>
      <c r="BP8" s="448"/>
    </row>
    <row r="9" spans="1:69" ht="15" hidden="1" customHeight="1" x14ac:dyDescent="0.25">
      <c r="A9" t="s">
        <v>0</v>
      </c>
      <c r="B9" t="s">
        <v>10</v>
      </c>
      <c r="C9" t="s">
        <v>1251</v>
      </c>
      <c r="F9" s="449" t="s">
        <v>1251</v>
      </c>
      <c r="G9" s="263"/>
      <c r="H9" s="451"/>
      <c r="I9" s="451"/>
      <c r="J9" s="451"/>
      <c r="K9" s="451"/>
      <c r="L9" s="451"/>
      <c r="M9" s="451"/>
      <c r="N9" s="451"/>
      <c r="O9" s="451"/>
      <c r="P9" s="263"/>
      <c r="Q9" s="450" t="s">
        <v>1251</v>
      </c>
      <c r="S9" s="449" t="s">
        <v>1251</v>
      </c>
      <c r="T9" s="263"/>
      <c r="U9" s="451"/>
      <c r="V9" s="451"/>
      <c r="W9" s="451"/>
      <c r="X9" s="451"/>
      <c r="Y9" s="451"/>
      <c r="Z9" s="451"/>
      <c r="AA9" s="451"/>
      <c r="AB9" s="451"/>
      <c r="AC9" s="263"/>
      <c r="AD9" s="450" t="s">
        <v>1251</v>
      </c>
      <c r="AF9" s="449" t="s">
        <v>1251</v>
      </c>
      <c r="AG9" s="263"/>
      <c r="AH9" s="451"/>
      <c r="AI9" s="451"/>
      <c r="AJ9" s="451"/>
      <c r="AK9" s="451"/>
      <c r="AL9" s="451"/>
      <c r="AM9" s="451"/>
      <c r="AN9" s="451"/>
      <c r="AO9" s="451"/>
      <c r="AP9" s="263"/>
      <c r="AQ9" s="450" t="s">
        <v>1251</v>
      </c>
      <c r="AS9" s="449" t="s">
        <v>1251</v>
      </c>
      <c r="AT9" s="263"/>
      <c r="AU9" s="451"/>
      <c r="AV9" s="451"/>
      <c r="AW9" s="451"/>
      <c r="AX9" s="451"/>
      <c r="AY9" s="451"/>
      <c r="AZ9" s="451"/>
      <c r="BA9" s="451"/>
      <c r="BB9" s="451"/>
      <c r="BC9" s="263"/>
      <c r="BD9" s="450" t="s">
        <v>1251</v>
      </c>
      <c r="BF9" s="449" t="s">
        <v>1251</v>
      </c>
      <c r="BG9" s="263"/>
      <c r="BH9" s="451"/>
      <c r="BI9" s="451"/>
      <c r="BJ9" s="451"/>
      <c r="BK9" s="451"/>
      <c r="BL9" s="451"/>
      <c r="BM9" s="451"/>
      <c r="BN9" s="451"/>
      <c r="BO9" s="451"/>
      <c r="BP9" s="263"/>
      <c r="BQ9" s="450" t="s">
        <v>1251</v>
      </c>
    </row>
    <row r="10" spans="1:69" ht="56.85" hidden="1" customHeight="1" x14ac:dyDescent="0.25">
      <c r="A10" t="s">
        <v>1</v>
      </c>
      <c r="C10" t="s">
        <v>1250</v>
      </c>
      <c r="D10" s="264"/>
      <c r="F10" s="449"/>
      <c r="G10" s="452"/>
      <c r="H10" s="265"/>
      <c r="I10" s="266"/>
      <c r="J10" s="263"/>
      <c r="K10" s="265"/>
      <c r="L10" s="266"/>
      <c r="M10" s="263"/>
      <c r="N10" s="265"/>
      <c r="O10" s="266"/>
      <c r="P10" s="453"/>
      <c r="Q10" s="450"/>
      <c r="S10" s="449"/>
      <c r="T10" s="452"/>
      <c r="U10" s="265"/>
      <c r="V10" s="266"/>
      <c r="W10" s="269"/>
      <c r="X10" s="265"/>
      <c r="Y10" s="266"/>
      <c r="Z10" s="269"/>
      <c r="AA10" s="265"/>
      <c r="AB10" s="266"/>
      <c r="AC10" s="453"/>
      <c r="AD10" s="450"/>
      <c r="AF10" s="449"/>
      <c r="AG10" s="452"/>
      <c r="AH10" s="265"/>
      <c r="AI10" s="266"/>
      <c r="AJ10" s="269"/>
      <c r="AK10" s="265"/>
      <c r="AL10" s="266"/>
      <c r="AM10" s="269"/>
      <c r="AN10" s="265"/>
      <c r="AO10" s="266"/>
      <c r="AP10" s="453"/>
      <c r="AQ10" s="450"/>
      <c r="AS10" s="449"/>
      <c r="AT10" s="452"/>
      <c r="AU10" s="265"/>
      <c r="AV10" s="266"/>
      <c r="AW10" s="269"/>
      <c r="AX10" s="265"/>
      <c r="AY10" s="266"/>
      <c r="AZ10" s="269"/>
      <c r="BA10" s="265"/>
      <c r="BB10" s="266"/>
      <c r="BC10" s="453"/>
      <c r="BD10" s="450"/>
      <c r="BF10" s="449"/>
      <c r="BG10" s="452"/>
      <c r="BH10" s="265"/>
      <c r="BI10" s="266"/>
      <c r="BJ10" s="269"/>
      <c r="BK10" s="265"/>
      <c r="BL10" s="266"/>
      <c r="BM10" s="269"/>
      <c r="BN10" s="265"/>
      <c r="BO10" s="266"/>
      <c r="BP10" s="453"/>
      <c r="BQ10" s="450"/>
    </row>
    <row r="11" spans="1:69" ht="56.85" hidden="1" customHeight="1" x14ac:dyDescent="0.25">
      <c r="A11" t="s">
        <v>368</v>
      </c>
      <c r="F11" s="449"/>
      <c r="G11" s="452"/>
      <c r="H11" s="267"/>
      <c r="I11" s="268"/>
      <c r="J11" s="263"/>
      <c r="K11" s="267"/>
      <c r="L11" s="268"/>
      <c r="M11" s="263"/>
      <c r="N11" s="267"/>
      <c r="O11" s="268"/>
      <c r="P11" s="453"/>
      <c r="Q11" s="450"/>
      <c r="S11" s="449"/>
      <c r="T11" s="452"/>
      <c r="U11" s="267"/>
      <c r="V11" s="268"/>
      <c r="W11" s="269"/>
      <c r="X11" s="267"/>
      <c r="Y11" s="268"/>
      <c r="Z11" s="269"/>
      <c r="AA11" s="267"/>
      <c r="AB11" s="268"/>
      <c r="AC11" s="453"/>
      <c r="AD11" s="450"/>
      <c r="AF11" s="449"/>
      <c r="AG11" s="452"/>
      <c r="AH11" s="267"/>
      <c r="AI11" s="268"/>
      <c r="AJ11" s="269"/>
      <c r="AK11" s="267"/>
      <c r="AL11" s="268"/>
      <c r="AM11" s="269"/>
      <c r="AN11" s="267"/>
      <c r="AO11" s="268"/>
      <c r="AP11" s="453"/>
      <c r="AQ11" s="450"/>
      <c r="AS11" s="449"/>
      <c r="AT11" s="452"/>
      <c r="AU11" s="267"/>
      <c r="AV11" s="268"/>
      <c r="AW11" s="269"/>
      <c r="AX11" s="267"/>
      <c r="AY11" s="268"/>
      <c r="AZ11" s="269"/>
      <c r="BA11" s="267"/>
      <c r="BB11" s="268"/>
      <c r="BC11" s="453"/>
      <c r="BD11" s="450"/>
      <c r="BF11" s="449"/>
      <c r="BG11" s="452"/>
      <c r="BH11" s="267"/>
      <c r="BI11" s="268"/>
      <c r="BJ11" s="269"/>
      <c r="BK11" s="267"/>
      <c r="BL11" s="268"/>
      <c r="BM11" s="269"/>
      <c r="BN11" s="267"/>
      <c r="BO11" s="268"/>
      <c r="BP11" s="453"/>
      <c r="BQ11" s="450"/>
    </row>
    <row r="12" spans="1:69" ht="9.9499999999999993" hidden="1" customHeight="1" x14ac:dyDescent="0.25">
      <c r="A12" t="s">
        <v>2</v>
      </c>
      <c r="F12" s="449"/>
      <c r="G12" s="452"/>
      <c r="H12" s="263"/>
      <c r="I12" s="263"/>
      <c r="J12" s="263"/>
      <c r="K12" s="263"/>
      <c r="L12" s="263"/>
      <c r="M12" s="263"/>
      <c r="N12" s="263"/>
      <c r="O12" s="263"/>
      <c r="P12" s="453"/>
      <c r="Q12" s="450"/>
      <c r="S12" s="449"/>
      <c r="T12" s="452"/>
      <c r="U12" s="269"/>
      <c r="V12" s="269"/>
      <c r="W12" s="269"/>
      <c r="X12" s="269"/>
      <c r="Y12" s="269"/>
      <c r="Z12" s="269"/>
      <c r="AA12" s="269"/>
      <c r="AB12" s="269"/>
      <c r="AC12" s="453"/>
      <c r="AD12" s="450"/>
      <c r="AF12" s="449"/>
      <c r="AG12" s="452"/>
      <c r="AH12" s="269"/>
      <c r="AI12" s="269"/>
      <c r="AJ12" s="269"/>
      <c r="AK12" s="269"/>
      <c r="AL12" s="269"/>
      <c r="AM12" s="269"/>
      <c r="AN12" s="269"/>
      <c r="AO12" s="269"/>
      <c r="AP12" s="453"/>
      <c r="AQ12" s="450"/>
      <c r="AS12" s="449"/>
      <c r="AT12" s="452"/>
      <c r="AU12" s="269"/>
      <c r="AV12" s="269"/>
      <c r="AW12" s="269"/>
      <c r="AX12" s="269"/>
      <c r="AY12" s="269"/>
      <c r="AZ12" s="269"/>
      <c r="BA12" s="269"/>
      <c r="BB12" s="269"/>
      <c r="BC12" s="453"/>
      <c r="BD12" s="450"/>
      <c r="BF12" s="449"/>
      <c r="BG12" s="452"/>
      <c r="BH12" s="269"/>
      <c r="BI12" s="269"/>
      <c r="BJ12" s="269"/>
      <c r="BK12" s="269"/>
      <c r="BL12" s="269"/>
      <c r="BM12" s="269"/>
      <c r="BN12" s="269"/>
      <c r="BO12" s="269"/>
      <c r="BP12" s="453"/>
      <c r="BQ12" s="450"/>
    </row>
    <row r="13" spans="1:69" ht="56.85" hidden="1" customHeight="1" x14ac:dyDescent="0.25">
      <c r="A13" t="s">
        <v>2</v>
      </c>
      <c r="F13" s="449"/>
      <c r="G13" s="452"/>
      <c r="H13" s="265"/>
      <c r="I13" s="266"/>
      <c r="J13" s="263"/>
      <c r="K13" s="265"/>
      <c r="L13" s="266"/>
      <c r="M13" s="263"/>
      <c r="N13" s="265"/>
      <c r="O13" s="266"/>
      <c r="P13" s="453"/>
      <c r="Q13" s="450"/>
      <c r="S13" s="449"/>
      <c r="T13" s="452"/>
      <c r="U13" s="265"/>
      <c r="V13" s="266"/>
      <c r="W13" s="269"/>
      <c r="X13" s="265"/>
      <c r="Y13" s="266"/>
      <c r="Z13" s="269"/>
      <c r="AA13" s="265"/>
      <c r="AB13" s="266"/>
      <c r="AC13" s="453"/>
      <c r="AD13" s="450"/>
      <c r="AF13" s="449"/>
      <c r="AG13" s="452"/>
      <c r="AH13" s="265"/>
      <c r="AI13" s="266"/>
      <c r="AJ13" s="269"/>
      <c r="AK13" s="265"/>
      <c r="AL13" s="266"/>
      <c r="AM13" s="269"/>
      <c r="AN13" s="265"/>
      <c r="AO13" s="266"/>
      <c r="AP13" s="453"/>
      <c r="AQ13" s="450"/>
      <c r="AS13" s="449"/>
      <c r="AT13" s="452"/>
      <c r="AU13" s="265"/>
      <c r="AV13" s="266"/>
      <c r="AW13" s="269"/>
      <c r="AX13" s="265"/>
      <c r="AY13" s="266"/>
      <c r="AZ13" s="269"/>
      <c r="BA13" s="265"/>
      <c r="BB13" s="266"/>
      <c r="BC13" s="453"/>
      <c r="BD13" s="450"/>
      <c r="BF13" s="449"/>
      <c r="BG13" s="452"/>
      <c r="BH13" s="265"/>
      <c r="BI13" s="266"/>
      <c r="BJ13" s="269"/>
      <c r="BK13" s="265"/>
      <c r="BL13" s="266"/>
      <c r="BM13" s="269"/>
      <c r="BN13" s="265"/>
      <c r="BO13" s="266"/>
      <c r="BP13" s="453"/>
      <c r="BQ13" s="450"/>
    </row>
    <row r="14" spans="1:69" ht="56.85" hidden="1" customHeight="1" x14ac:dyDescent="0.25">
      <c r="A14" t="s">
        <v>369</v>
      </c>
      <c r="F14" s="449"/>
      <c r="G14" s="452"/>
      <c r="H14" s="267"/>
      <c r="I14" s="268"/>
      <c r="J14" s="263"/>
      <c r="K14" s="267"/>
      <c r="L14" s="268"/>
      <c r="M14" s="263"/>
      <c r="N14" s="267"/>
      <c r="O14" s="268"/>
      <c r="P14" s="453"/>
      <c r="Q14" s="450"/>
      <c r="S14" s="449"/>
      <c r="T14" s="452"/>
      <c r="U14" s="267"/>
      <c r="V14" s="268"/>
      <c r="W14" s="269"/>
      <c r="X14" s="267"/>
      <c r="Y14" s="268"/>
      <c r="Z14" s="269"/>
      <c r="AA14" s="267"/>
      <c r="AB14" s="268"/>
      <c r="AC14" s="453"/>
      <c r="AD14" s="450"/>
      <c r="AF14" s="449"/>
      <c r="AG14" s="452"/>
      <c r="AH14" s="267"/>
      <c r="AI14" s="268"/>
      <c r="AJ14" s="269"/>
      <c r="AK14" s="267"/>
      <c r="AL14" s="268"/>
      <c r="AM14" s="269"/>
      <c r="AN14" s="267"/>
      <c r="AO14" s="268"/>
      <c r="AP14" s="453"/>
      <c r="AQ14" s="450"/>
      <c r="AS14" s="449"/>
      <c r="AT14" s="452"/>
      <c r="AU14" s="267"/>
      <c r="AV14" s="268"/>
      <c r="AW14" s="269"/>
      <c r="AX14" s="267"/>
      <c r="AY14" s="268"/>
      <c r="AZ14" s="269"/>
      <c r="BA14" s="267"/>
      <c r="BB14" s="268"/>
      <c r="BC14" s="453"/>
      <c r="BD14" s="450"/>
      <c r="BF14" s="449"/>
      <c r="BG14" s="452"/>
      <c r="BH14" s="267"/>
      <c r="BI14" s="268"/>
      <c r="BJ14" s="269"/>
      <c r="BK14" s="267"/>
      <c r="BL14" s="268"/>
      <c r="BM14" s="269"/>
      <c r="BN14" s="267"/>
      <c r="BO14" s="268"/>
      <c r="BP14" s="453"/>
      <c r="BQ14" s="450"/>
    </row>
    <row r="15" spans="1:69" ht="9.9499999999999993" hidden="1" customHeight="1" x14ac:dyDescent="0.25">
      <c r="A15" t="s">
        <v>370</v>
      </c>
      <c r="F15" s="449"/>
      <c r="G15" s="452"/>
      <c r="H15" s="263"/>
      <c r="I15" s="263"/>
      <c r="J15" s="263"/>
      <c r="K15" s="263"/>
      <c r="L15" s="263"/>
      <c r="M15" s="263"/>
      <c r="N15" s="263"/>
      <c r="O15" s="263"/>
      <c r="P15" s="453"/>
      <c r="Q15" s="450"/>
      <c r="S15" s="449"/>
      <c r="T15" s="452"/>
      <c r="U15" s="269"/>
      <c r="V15" s="269"/>
      <c r="W15" s="269"/>
      <c r="X15" s="269"/>
      <c r="Y15" s="269"/>
      <c r="Z15" s="269"/>
      <c r="AA15" s="269"/>
      <c r="AB15" s="269"/>
      <c r="AC15" s="453"/>
      <c r="AD15" s="450"/>
      <c r="AF15" s="449"/>
      <c r="AG15" s="452"/>
      <c r="AH15" s="269"/>
      <c r="AI15" s="269"/>
      <c r="AJ15" s="269"/>
      <c r="AK15" s="269"/>
      <c r="AL15" s="269"/>
      <c r="AM15" s="269"/>
      <c r="AN15" s="269"/>
      <c r="AO15" s="269"/>
      <c r="AP15" s="453"/>
      <c r="AQ15" s="450"/>
      <c r="AS15" s="449"/>
      <c r="AT15" s="452"/>
      <c r="AU15" s="269"/>
      <c r="AV15" s="269"/>
      <c r="AW15" s="269"/>
      <c r="AX15" s="269"/>
      <c r="AY15" s="269"/>
      <c r="AZ15" s="269"/>
      <c r="BA15" s="269"/>
      <c r="BB15" s="269"/>
      <c r="BC15" s="453"/>
      <c r="BD15" s="450"/>
      <c r="BF15" s="449"/>
      <c r="BG15" s="452"/>
      <c r="BH15" s="269"/>
      <c r="BI15" s="269"/>
      <c r="BJ15" s="269"/>
      <c r="BK15" s="269"/>
      <c r="BL15" s="269"/>
      <c r="BM15" s="269"/>
      <c r="BN15" s="269"/>
      <c r="BO15" s="269"/>
      <c r="BP15" s="453"/>
      <c r="BQ15" s="450"/>
    </row>
    <row r="16" spans="1:69" ht="56.85" hidden="1" customHeight="1" x14ac:dyDescent="0.25">
      <c r="A16" t="s">
        <v>3</v>
      </c>
      <c r="F16" s="449"/>
      <c r="G16" s="452"/>
      <c r="H16" s="265"/>
      <c r="I16" s="266"/>
      <c r="J16" s="263"/>
      <c r="K16" s="265"/>
      <c r="L16" s="266"/>
      <c r="M16" s="263"/>
      <c r="N16" s="265"/>
      <c r="O16" s="266"/>
      <c r="P16" s="453"/>
      <c r="Q16" s="450"/>
      <c r="S16" s="449"/>
      <c r="T16" s="452"/>
      <c r="U16" s="265"/>
      <c r="V16" s="266"/>
      <c r="W16" s="269"/>
      <c r="X16" s="265"/>
      <c r="Y16" s="266"/>
      <c r="Z16" s="269"/>
      <c r="AA16" s="265"/>
      <c r="AB16" s="266"/>
      <c r="AC16" s="453"/>
      <c r="AD16" s="450"/>
      <c r="AF16" s="449"/>
      <c r="AG16" s="452"/>
      <c r="AH16" s="265"/>
      <c r="AI16" s="266"/>
      <c r="AJ16" s="269"/>
      <c r="AK16" s="265"/>
      <c r="AL16" s="266"/>
      <c r="AM16" s="269"/>
      <c r="AN16" s="265"/>
      <c r="AO16" s="266"/>
      <c r="AP16" s="453"/>
      <c r="AQ16" s="450"/>
      <c r="AS16" s="449"/>
      <c r="AT16" s="452"/>
      <c r="AU16" s="265"/>
      <c r="AV16" s="266"/>
      <c r="AW16" s="269"/>
      <c r="AX16" s="265"/>
      <c r="AY16" s="266"/>
      <c r="AZ16" s="269"/>
      <c r="BA16" s="265"/>
      <c r="BB16" s="266"/>
      <c r="BC16" s="453"/>
      <c r="BD16" s="450"/>
      <c r="BF16" s="449"/>
      <c r="BG16" s="452"/>
      <c r="BH16" s="265"/>
      <c r="BI16" s="266"/>
      <c r="BJ16" s="269"/>
      <c r="BK16" s="265"/>
      <c r="BL16" s="266"/>
      <c r="BM16" s="269"/>
      <c r="BN16" s="265"/>
      <c r="BO16" s="266"/>
      <c r="BP16" s="453"/>
      <c r="BQ16" s="450"/>
    </row>
    <row r="17" spans="1:69" ht="56.85" hidden="1" customHeight="1" x14ac:dyDescent="0.25">
      <c r="A17" t="s">
        <v>4</v>
      </c>
      <c r="F17" s="449"/>
      <c r="G17" s="452"/>
      <c r="H17" s="267"/>
      <c r="I17" s="268"/>
      <c r="J17" s="263"/>
      <c r="K17" s="267"/>
      <c r="L17" s="268"/>
      <c r="M17" s="263"/>
      <c r="N17" s="267"/>
      <c r="O17" s="268"/>
      <c r="P17" s="453"/>
      <c r="Q17" s="450"/>
      <c r="S17" s="449"/>
      <c r="T17" s="452"/>
      <c r="U17" s="267"/>
      <c r="V17" s="268"/>
      <c r="W17" s="269"/>
      <c r="X17" s="267"/>
      <c r="Y17" s="268"/>
      <c r="Z17" s="269"/>
      <c r="AA17" s="267"/>
      <c r="AB17" s="268"/>
      <c r="AC17" s="453"/>
      <c r="AD17" s="450"/>
      <c r="AF17" s="449"/>
      <c r="AG17" s="452"/>
      <c r="AH17" s="267"/>
      <c r="AI17" s="268"/>
      <c r="AJ17" s="269"/>
      <c r="AK17" s="267"/>
      <c r="AL17" s="268"/>
      <c r="AM17" s="269"/>
      <c r="AN17" s="267"/>
      <c r="AO17" s="268"/>
      <c r="AP17" s="453"/>
      <c r="AQ17" s="450"/>
      <c r="AS17" s="449"/>
      <c r="AT17" s="452"/>
      <c r="AU17" s="267"/>
      <c r="AV17" s="268"/>
      <c r="AW17" s="269"/>
      <c r="AX17" s="267"/>
      <c r="AY17" s="268"/>
      <c r="AZ17" s="269"/>
      <c r="BA17" s="267"/>
      <c r="BB17" s="268"/>
      <c r="BC17" s="453"/>
      <c r="BD17" s="450"/>
      <c r="BF17" s="449"/>
      <c r="BG17" s="452"/>
      <c r="BH17" s="267"/>
      <c r="BI17" s="268"/>
      <c r="BJ17" s="269"/>
      <c r="BK17" s="267"/>
      <c r="BL17" s="268"/>
      <c r="BM17" s="269"/>
      <c r="BN17" s="267"/>
      <c r="BO17" s="268"/>
      <c r="BP17" s="453"/>
      <c r="BQ17" s="450"/>
    </row>
    <row r="18" spans="1:69" hidden="1" x14ac:dyDescent="0.25">
      <c r="A18" t="s">
        <v>5</v>
      </c>
      <c r="F18" s="449"/>
      <c r="G18" s="263"/>
      <c r="H18" s="451"/>
      <c r="I18" s="451"/>
      <c r="J18" s="451"/>
      <c r="K18" s="451"/>
      <c r="L18" s="451"/>
      <c r="M18" s="451"/>
      <c r="N18" s="451"/>
      <c r="O18" s="451"/>
      <c r="P18" s="263"/>
      <c r="Q18" s="450"/>
      <c r="S18" s="449"/>
      <c r="T18" s="263"/>
      <c r="U18" s="451"/>
      <c r="V18" s="451"/>
      <c r="W18" s="451"/>
      <c r="X18" s="451"/>
      <c r="Y18" s="451"/>
      <c r="Z18" s="451"/>
      <c r="AA18" s="451"/>
      <c r="AB18" s="451"/>
      <c r="AC18" s="263"/>
      <c r="AD18" s="450"/>
      <c r="AF18" s="449"/>
      <c r="AG18" s="263"/>
      <c r="AH18" s="451"/>
      <c r="AI18" s="451"/>
      <c r="AJ18" s="451"/>
      <c r="AK18" s="451"/>
      <c r="AL18" s="451"/>
      <c r="AM18" s="451"/>
      <c r="AN18" s="451"/>
      <c r="AO18" s="451"/>
      <c r="AP18" s="263"/>
      <c r="AQ18" s="450"/>
      <c r="AS18" s="449"/>
      <c r="AT18" s="263"/>
      <c r="AU18" s="451"/>
      <c r="AV18" s="451"/>
      <c r="AW18" s="451"/>
      <c r="AX18" s="451"/>
      <c r="AY18" s="451"/>
      <c r="AZ18" s="451"/>
      <c r="BA18" s="451"/>
      <c r="BB18" s="451"/>
      <c r="BC18" s="263"/>
      <c r="BD18" s="450"/>
      <c r="BF18" s="449"/>
      <c r="BG18" s="263"/>
      <c r="BH18" s="451"/>
      <c r="BI18" s="451"/>
      <c r="BJ18" s="451"/>
      <c r="BK18" s="451"/>
      <c r="BL18" s="451"/>
      <c r="BM18" s="451"/>
      <c r="BN18" s="451"/>
      <c r="BO18" s="451"/>
      <c r="BP18" s="263"/>
      <c r="BQ18" s="450"/>
    </row>
    <row r="19" spans="1:69" hidden="1" x14ac:dyDescent="0.25">
      <c r="A19" t="s">
        <v>6</v>
      </c>
      <c r="G19" s="448" t="s">
        <v>1251</v>
      </c>
      <c r="H19" s="448"/>
      <c r="I19" s="448"/>
      <c r="J19" s="448"/>
      <c r="K19" s="448"/>
      <c r="L19" s="448"/>
      <c r="M19" s="448"/>
      <c r="N19" s="448"/>
      <c r="O19" s="448"/>
      <c r="P19" s="448"/>
      <c r="T19" s="448" t="s">
        <v>1251</v>
      </c>
      <c r="U19" s="448"/>
      <c r="V19" s="448"/>
      <c r="W19" s="448"/>
      <c r="X19" s="448"/>
      <c r="Y19" s="448"/>
      <c r="Z19" s="448"/>
      <c r="AA19" s="448"/>
      <c r="AB19" s="448"/>
      <c r="AC19" s="448"/>
      <c r="AG19" s="448" t="s">
        <v>1251</v>
      </c>
      <c r="AH19" s="448"/>
      <c r="AI19" s="448"/>
      <c r="AJ19" s="448"/>
      <c r="AK19" s="448"/>
      <c r="AL19" s="448"/>
      <c r="AM19" s="448"/>
      <c r="AN19" s="448"/>
      <c r="AO19" s="448"/>
      <c r="AP19" s="448"/>
      <c r="AT19" s="448" t="s">
        <v>1251</v>
      </c>
      <c r="AU19" s="448"/>
      <c r="AV19" s="448"/>
      <c r="AW19" s="448"/>
      <c r="AX19" s="448"/>
      <c r="AY19" s="448"/>
      <c r="AZ19" s="448"/>
      <c r="BA19" s="448"/>
      <c r="BB19" s="448"/>
      <c r="BC19" s="448"/>
      <c r="BG19" s="448" t="s">
        <v>1251</v>
      </c>
      <c r="BH19" s="448"/>
      <c r="BI19" s="448"/>
      <c r="BJ19" s="448"/>
      <c r="BK19" s="448"/>
      <c r="BL19" s="448"/>
      <c r="BM19" s="448"/>
      <c r="BN19" s="448"/>
      <c r="BO19" s="448"/>
      <c r="BP19" s="448"/>
    </row>
    <row r="20" spans="1:69" hidden="1" x14ac:dyDescent="0.25">
      <c r="A20" t="s">
        <v>371</v>
      </c>
    </row>
    <row r="21" spans="1:69" hidden="1" x14ac:dyDescent="0.25">
      <c r="A21" t="s">
        <v>372</v>
      </c>
      <c r="G21" s="448" t="s">
        <v>1251</v>
      </c>
      <c r="H21" s="448"/>
      <c r="I21" s="448"/>
      <c r="J21" s="448"/>
      <c r="K21" s="448"/>
      <c r="L21" s="448"/>
      <c r="M21" s="448"/>
      <c r="N21" s="448"/>
      <c r="O21" s="448"/>
      <c r="P21" s="448"/>
      <c r="T21" s="448" t="s">
        <v>1251</v>
      </c>
      <c r="U21" s="448"/>
      <c r="V21" s="448"/>
      <c r="W21" s="448"/>
      <c r="X21" s="448"/>
      <c r="Y21" s="448"/>
      <c r="Z21" s="448"/>
      <c r="AA21" s="448"/>
      <c r="AB21" s="448"/>
      <c r="AC21" s="448"/>
      <c r="AG21" s="448" t="s">
        <v>1251</v>
      </c>
      <c r="AH21" s="448"/>
      <c r="AI21" s="448"/>
      <c r="AJ21" s="448"/>
      <c r="AK21" s="448"/>
      <c r="AL21" s="448"/>
      <c r="AM21" s="448"/>
      <c r="AN21" s="448"/>
      <c r="AO21" s="448"/>
      <c r="AP21" s="448"/>
      <c r="AT21" s="448" t="s">
        <v>1251</v>
      </c>
      <c r="AU21" s="448"/>
      <c r="AV21" s="448"/>
      <c r="AW21" s="448"/>
      <c r="AX21" s="448"/>
      <c r="AY21" s="448"/>
      <c r="AZ21" s="448"/>
      <c r="BA21" s="448"/>
      <c r="BB21" s="448"/>
      <c r="BC21" s="448"/>
      <c r="BG21" s="448" t="s">
        <v>1251</v>
      </c>
      <c r="BH21" s="448"/>
      <c r="BI21" s="448"/>
      <c r="BJ21" s="448"/>
      <c r="BK21" s="448"/>
      <c r="BL21" s="448"/>
      <c r="BM21" s="448"/>
      <c r="BN21" s="448"/>
      <c r="BO21" s="448"/>
      <c r="BP21" s="448"/>
    </row>
    <row r="22" spans="1:69" hidden="1" x14ac:dyDescent="0.25">
      <c r="A22" t="s">
        <v>7</v>
      </c>
      <c r="F22" s="449" t="s">
        <v>1251</v>
      </c>
      <c r="G22" s="263"/>
      <c r="H22" s="451"/>
      <c r="I22" s="451"/>
      <c r="J22" s="451"/>
      <c r="K22" s="451"/>
      <c r="L22" s="451"/>
      <c r="M22" s="451"/>
      <c r="N22" s="451"/>
      <c r="O22" s="451"/>
      <c r="P22" s="263"/>
      <c r="Q22" s="450" t="s">
        <v>1251</v>
      </c>
      <c r="S22" s="449" t="s">
        <v>1251</v>
      </c>
      <c r="T22" s="263"/>
      <c r="U22" s="451"/>
      <c r="V22" s="451"/>
      <c r="W22" s="451"/>
      <c r="X22" s="451"/>
      <c r="Y22" s="451"/>
      <c r="Z22" s="451"/>
      <c r="AA22" s="451"/>
      <c r="AB22" s="451"/>
      <c r="AC22" s="263"/>
      <c r="AD22" s="450" t="s">
        <v>1251</v>
      </c>
      <c r="AF22" s="449" t="s">
        <v>1251</v>
      </c>
      <c r="AG22" s="263"/>
      <c r="AH22" s="451"/>
      <c r="AI22" s="451"/>
      <c r="AJ22" s="451"/>
      <c r="AK22" s="451"/>
      <c r="AL22" s="451"/>
      <c r="AM22" s="451"/>
      <c r="AN22" s="451"/>
      <c r="AO22" s="451"/>
      <c r="AP22" s="263"/>
      <c r="AQ22" s="450" t="s">
        <v>1251</v>
      </c>
      <c r="AS22" s="449" t="s">
        <v>1251</v>
      </c>
      <c r="AT22" s="263"/>
      <c r="AU22" s="451"/>
      <c r="AV22" s="451"/>
      <c r="AW22" s="451"/>
      <c r="AX22" s="451"/>
      <c r="AY22" s="451"/>
      <c r="AZ22" s="451"/>
      <c r="BA22" s="451"/>
      <c r="BB22" s="451"/>
      <c r="BC22" s="263"/>
      <c r="BD22" s="450" t="s">
        <v>1251</v>
      </c>
      <c r="BF22" s="449" t="s">
        <v>1251</v>
      </c>
      <c r="BG22" s="263"/>
      <c r="BH22" s="451"/>
      <c r="BI22" s="451"/>
      <c r="BJ22" s="451"/>
      <c r="BK22" s="451"/>
      <c r="BL22" s="451"/>
      <c r="BM22" s="451"/>
      <c r="BN22" s="451"/>
      <c r="BO22" s="451"/>
      <c r="BP22" s="263"/>
      <c r="BQ22" s="450" t="s">
        <v>1251</v>
      </c>
    </row>
    <row r="23" spans="1:69" ht="56.85" hidden="1" customHeight="1" x14ac:dyDescent="0.25">
      <c r="A23" t="s">
        <v>8</v>
      </c>
      <c r="F23" s="449"/>
      <c r="G23" s="452"/>
      <c r="H23" s="265"/>
      <c r="I23" s="266"/>
      <c r="J23" s="269"/>
      <c r="K23" s="265"/>
      <c r="L23" s="266"/>
      <c r="M23" s="269"/>
      <c r="N23" s="265"/>
      <c r="O23" s="266"/>
      <c r="P23" s="453"/>
      <c r="Q23" s="450"/>
      <c r="S23" s="449"/>
      <c r="T23" s="452"/>
      <c r="U23" s="265"/>
      <c r="V23" s="266"/>
      <c r="W23" s="269"/>
      <c r="X23" s="265"/>
      <c r="Y23" s="266"/>
      <c r="Z23" s="269"/>
      <c r="AA23" s="265"/>
      <c r="AB23" s="266"/>
      <c r="AC23" s="453"/>
      <c r="AD23" s="450"/>
      <c r="AF23" s="449"/>
      <c r="AG23" s="452"/>
      <c r="AH23" s="265"/>
      <c r="AI23" s="266"/>
      <c r="AJ23" s="269"/>
      <c r="AK23" s="265"/>
      <c r="AL23" s="266"/>
      <c r="AM23" s="269"/>
      <c r="AN23" s="265"/>
      <c r="AO23" s="266"/>
      <c r="AP23" s="453"/>
      <c r="AQ23" s="450"/>
      <c r="AS23" s="449"/>
      <c r="AT23" s="452"/>
      <c r="AU23" s="265"/>
      <c r="AV23" s="266"/>
      <c r="AW23" s="269"/>
      <c r="AX23" s="265"/>
      <c r="AY23" s="266"/>
      <c r="AZ23" s="269"/>
      <c r="BA23" s="265"/>
      <c r="BB23" s="266"/>
      <c r="BC23" s="453"/>
      <c r="BD23" s="450"/>
      <c r="BF23" s="449"/>
      <c r="BG23" s="452"/>
      <c r="BH23" s="265"/>
      <c r="BI23" s="266"/>
      <c r="BJ23" s="269"/>
      <c r="BK23" s="265"/>
      <c r="BL23" s="266"/>
      <c r="BM23" s="269"/>
      <c r="BN23" s="265"/>
      <c r="BO23" s="266"/>
      <c r="BP23" s="453"/>
      <c r="BQ23" s="450"/>
    </row>
    <row r="24" spans="1:69" ht="56.85" hidden="1" customHeight="1" x14ac:dyDescent="0.25">
      <c r="A24" t="s">
        <v>9</v>
      </c>
      <c r="F24" s="449"/>
      <c r="G24" s="452"/>
      <c r="H24" s="267"/>
      <c r="I24" s="268"/>
      <c r="J24" s="269"/>
      <c r="K24" s="267"/>
      <c r="L24" s="268"/>
      <c r="M24" s="269"/>
      <c r="N24" s="267"/>
      <c r="O24" s="268"/>
      <c r="P24" s="453"/>
      <c r="Q24" s="450"/>
      <c r="S24" s="449"/>
      <c r="T24" s="452"/>
      <c r="U24" s="267"/>
      <c r="V24" s="268"/>
      <c r="W24" s="269"/>
      <c r="X24" s="267"/>
      <c r="Y24" s="268"/>
      <c r="Z24" s="269"/>
      <c r="AA24" s="267"/>
      <c r="AB24" s="268"/>
      <c r="AC24" s="453"/>
      <c r="AD24" s="450"/>
      <c r="AF24" s="449"/>
      <c r="AG24" s="452"/>
      <c r="AH24" s="267"/>
      <c r="AI24" s="268"/>
      <c r="AJ24" s="269"/>
      <c r="AK24" s="267"/>
      <c r="AL24" s="268"/>
      <c r="AM24" s="269"/>
      <c r="AN24" s="267"/>
      <c r="AO24" s="268"/>
      <c r="AP24" s="453"/>
      <c r="AQ24" s="450"/>
      <c r="AS24" s="449"/>
      <c r="AT24" s="452"/>
      <c r="AU24" s="267"/>
      <c r="AV24" s="268"/>
      <c r="AW24" s="269"/>
      <c r="AX24" s="267"/>
      <c r="AY24" s="268"/>
      <c r="AZ24" s="269"/>
      <c r="BA24" s="267"/>
      <c r="BB24" s="268"/>
      <c r="BC24" s="453"/>
      <c r="BD24" s="450"/>
      <c r="BF24" s="449"/>
      <c r="BG24" s="452"/>
      <c r="BH24" s="267"/>
      <c r="BI24" s="268"/>
      <c r="BJ24" s="269"/>
      <c r="BK24" s="267"/>
      <c r="BL24" s="268"/>
      <c r="BM24" s="269"/>
      <c r="BN24" s="267"/>
      <c r="BO24" s="268"/>
      <c r="BP24" s="453"/>
      <c r="BQ24" s="450"/>
    </row>
    <row r="25" spans="1:69" hidden="1" x14ac:dyDescent="0.25">
      <c r="A25" t="s">
        <v>10</v>
      </c>
      <c r="F25" s="449"/>
      <c r="G25" s="452"/>
      <c r="H25" s="269"/>
      <c r="I25" s="269"/>
      <c r="J25" s="269"/>
      <c r="K25" s="269"/>
      <c r="L25" s="269"/>
      <c r="M25" s="269"/>
      <c r="N25" s="269"/>
      <c r="O25" s="269"/>
      <c r="P25" s="453"/>
      <c r="Q25" s="450"/>
      <c r="S25" s="449"/>
      <c r="T25" s="452"/>
      <c r="U25" s="269"/>
      <c r="V25" s="269"/>
      <c r="W25" s="269"/>
      <c r="X25" s="269"/>
      <c r="Y25" s="269"/>
      <c r="Z25" s="269"/>
      <c r="AA25" s="269"/>
      <c r="AB25" s="269"/>
      <c r="AC25" s="453"/>
      <c r="AD25" s="450"/>
      <c r="AF25" s="449"/>
      <c r="AG25" s="452"/>
      <c r="AH25" s="269"/>
      <c r="AI25" s="269"/>
      <c r="AJ25" s="269"/>
      <c r="AK25" s="269"/>
      <c r="AL25" s="269"/>
      <c r="AM25" s="269"/>
      <c r="AN25" s="269"/>
      <c r="AO25" s="269"/>
      <c r="AP25" s="453"/>
      <c r="AQ25" s="450"/>
      <c r="AS25" s="449"/>
      <c r="AT25" s="452"/>
      <c r="AU25" s="269"/>
      <c r="AV25" s="269"/>
      <c r="AW25" s="269"/>
      <c r="AX25" s="269"/>
      <c r="AY25" s="269"/>
      <c r="AZ25" s="269"/>
      <c r="BA25" s="269"/>
      <c r="BB25" s="269"/>
      <c r="BC25" s="453"/>
      <c r="BD25" s="450"/>
      <c r="BF25" s="449"/>
      <c r="BG25" s="452"/>
      <c r="BH25" s="269"/>
      <c r="BI25" s="269"/>
      <c r="BJ25" s="269"/>
      <c r="BK25" s="269"/>
      <c r="BL25" s="269"/>
      <c r="BM25" s="269"/>
      <c r="BN25" s="269"/>
      <c r="BO25" s="269"/>
      <c r="BP25" s="453"/>
      <c r="BQ25" s="450"/>
    </row>
    <row r="26" spans="1:69" ht="56.85" hidden="1" customHeight="1" x14ac:dyDescent="0.25">
      <c r="A26" t="s">
        <v>11</v>
      </c>
      <c r="F26" s="449"/>
      <c r="G26" s="452"/>
      <c r="H26" s="265"/>
      <c r="I26" s="266"/>
      <c r="J26" s="269"/>
      <c r="K26" s="265"/>
      <c r="L26" s="266"/>
      <c r="M26" s="269"/>
      <c r="N26" s="265"/>
      <c r="O26" s="266"/>
      <c r="P26" s="453"/>
      <c r="Q26" s="450"/>
      <c r="S26" s="449"/>
      <c r="T26" s="452"/>
      <c r="U26" s="265"/>
      <c r="V26" s="266"/>
      <c r="W26" s="269"/>
      <c r="X26" s="265"/>
      <c r="Y26" s="266"/>
      <c r="Z26" s="269"/>
      <c r="AA26" s="265"/>
      <c r="AB26" s="266"/>
      <c r="AC26" s="453"/>
      <c r="AD26" s="450"/>
      <c r="AF26" s="449"/>
      <c r="AG26" s="452"/>
      <c r="AH26" s="265"/>
      <c r="AI26" s="266"/>
      <c r="AJ26" s="269"/>
      <c r="AK26" s="265"/>
      <c r="AL26" s="266"/>
      <c r="AM26" s="269"/>
      <c r="AN26" s="265"/>
      <c r="AO26" s="266"/>
      <c r="AP26" s="453"/>
      <c r="AQ26" s="450"/>
      <c r="AS26" s="449"/>
      <c r="AT26" s="452"/>
      <c r="AU26" s="265"/>
      <c r="AV26" s="266"/>
      <c r="AW26" s="269"/>
      <c r="AX26" s="265"/>
      <c r="AY26" s="266"/>
      <c r="AZ26" s="269"/>
      <c r="BA26" s="265"/>
      <c r="BB26" s="266"/>
      <c r="BC26" s="453"/>
      <c r="BD26" s="450"/>
      <c r="BF26" s="449"/>
      <c r="BG26" s="452"/>
      <c r="BH26" s="265"/>
      <c r="BI26" s="266"/>
      <c r="BJ26" s="269"/>
      <c r="BK26" s="265"/>
      <c r="BL26" s="266"/>
      <c r="BM26" s="269"/>
      <c r="BN26" s="265"/>
      <c r="BO26" s="266"/>
      <c r="BP26" s="453"/>
      <c r="BQ26" s="450"/>
    </row>
    <row r="27" spans="1:69" ht="56.85" hidden="1" customHeight="1" x14ac:dyDescent="0.25">
      <c r="A27" t="s">
        <v>12</v>
      </c>
      <c r="F27" s="449"/>
      <c r="G27" s="452"/>
      <c r="H27" s="267"/>
      <c r="I27" s="268"/>
      <c r="J27" s="269"/>
      <c r="K27" s="267"/>
      <c r="L27" s="268"/>
      <c r="M27" s="269"/>
      <c r="N27" s="267"/>
      <c r="O27" s="268"/>
      <c r="P27" s="453"/>
      <c r="Q27" s="450"/>
      <c r="S27" s="449"/>
      <c r="T27" s="452"/>
      <c r="U27" s="267"/>
      <c r="V27" s="268"/>
      <c r="W27" s="269"/>
      <c r="X27" s="267"/>
      <c r="Y27" s="268"/>
      <c r="Z27" s="269"/>
      <c r="AA27" s="267"/>
      <c r="AB27" s="268"/>
      <c r="AC27" s="453"/>
      <c r="AD27" s="450"/>
      <c r="AF27" s="449"/>
      <c r="AG27" s="452"/>
      <c r="AH27" s="267"/>
      <c r="AI27" s="268"/>
      <c r="AJ27" s="269"/>
      <c r="AK27" s="267"/>
      <c r="AL27" s="268"/>
      <c r="AM27" s="269"/>
      <c r="AN27" s="267"/>
      <c r="AO27" s="268"/>
      <c r="AP27" s="453"/>
      <c r="AQ27" s="450"/>
      <c r="AS27" s="449"/>
      <c r="AT27" s="452"/>
      <c r="AU27" s="267"/>
      <c r="AV27" s="268"/>
      <c r="AW27" s="269"/>
      <c r="AX27" s="267"/>
      <c r="AY27" s="268"/>
      <c r="AZ27" s="269"/>
      <c r="BA27" s="267"/>
      <c r="BB27" s="268"/>
      <c r="BC27" s="453"/>
      <c r="BD27" s="450"/>
      <c r="BF27" s="449"/>
      <c r="BG27" s="452"/>
      <c r="BH27" s="267"/>
      <c r="BI27" s="268"/>
      <c r="BJ27" s="269"/>
      <c r="BK27" s="267"/>
      <c r="BL27" s="268"/>
      <c r="BM27" s="269"/>
      <c r="BN27" s="267"/>
      <c r="BO27" s="268"/>
      <c r="BP27" s="453"/>
      <c r="BQ27" s="450"/>
    </row>
    <row r="28" spans="1:69" hidden="1" x14ac:dyDescent="0.25">
      <c r="A28" t="s">
        <v>373</v>
      </c>
      <c r="F28" s="449"/>
      <c r="G28" s="452"/>
      <c r="H28" s="269"/>
      <c r="I28" s="269"/>
      <c r="J28" s="269"/>
      <c r="K28" s="269"/>
      <c r="L28" s="269"/>
      <c r="M28" s="269"/>
      <c r="N28" s="269"/>
      <c r="O28" s="269"/>
      <c r="P28" s="453"/>
      <c r="Q28" s="450"/>
      <c r="S28" s="449"/>
      <c r="T28" s="452"/>
      <c r="U28" s="269"/>
      <c r="V28" s="269"/>
      <c r="W28" s="269"/>
      <c r="X28" s="269"/>
      <c r="Y28" s="269"/>
      <c r="Z28" s="269"/>
      <c r="AA28" s="269"/>
      <c r="AB28" s="269"/>
      <c r="AC28" s="453"/>
      <c r="AD28" s="450"/>
      <c r="AF28" s="449"/>
      <c r="AG28" s="452"/>
      <c r="AH28" s="269"/>
      <c r="AI28" s="269"/>
      <c r="AJ28" s="269"/>
      <c r="AK28" s="269"/>
      <c r="AL28" s="269"/>
      <c r="AM28" s="269"/>
      <c r="AN28" s="269"/>
      <c r="AO28" s="269"/>
      <c r="AP28" s="453"/>
      <c r="AQ28" s="450"/>
      <c r="AS28" s="449"/>
      <c r="AT28" s="452"/>
      <c r="AU28" s="269"/>
      <c r="AV28" s="269"/>
      <c r="AW28" s="269"/>
      <c r="AX28" s="269"/>
      <c r="AY28" s="269"/>
      <c r="AZ28" s="269"/>
      <c r="BA28" s="269"/>
      <c r="BB28" s="269"/>
      <c r="BC28" s="453"/>
      <c r="BD28" s="450"/>
      <c r="BF28" s="449"/>
      <c r="BG28" s="452"/>
      <c r="BH28" s="269"/>
      <c r="BI28" s="269"/>
      <c r="BJ28" s="269"/>
      <c r="BK28" s="269"/>
      <c r="BL28" s="269"/>
      <c r="BM28" s="269"/>
      <c r="BN28" s="269"/>
      <c r="BO28" s="269"/>
      <c r="BP28" s="453"/>
      <c r="BQ28" s="450"/>
    </row>
    <row r="29" spans="1:69" ht="56.85" hidden="1" customHeight="1" x14ac:dyDescent="0.25">
      <c r="A29" t="s">
        <v>13</v>
      </c>
      <c r="F29" s="449"/>
      <c r="G29" s="452"/>
      <c r="H29" s="265"/>
      <c r="I29" s="266"/>
      <c r="J29" s="269"/>
      <c r="K29" s="265"/>
      <c r="L29" s="266"/>
      <c r="M29" s="269"/>
      <c r="N29" s="265"/>
      <c r="O29" s="266"/>
      <c r="P29" s="453"/>
      <c r="Q29" s="450"/>
      <c r="S29" s="449"/>
      <c r="T29" s="452"/>
      <c r="U29" s="265"/>
      <c r="V29" s="266"/>
      <c r="W29" s="269"/>
      <c r="X29" s="265"/>
      <c r="Y29" s="266"/>
      <c r="Z29" s="269"/>
      <c r="AA29" s="265"/>
      <c r="AB29" s="266"/>
      <c r="AC29" s="453"/>
      <c r="AD29" s="450"/>
      <c r="AF29" s="449"/>
      <c r="AG29" s="452"/>
      <c r="AH29" s="265"/>
      <c r="AI29" s="266"/>
      <c r="AJ29" s="269"/>
      <c r="AK29" s="265"/>
      <c r="AL29" s="266"/>
      <c r="AM29" s="269"/>
      <c r="AN29" s="265"/>
      <c r="AO29" s="266"/>
      <c r="AP29" s="453"/>
      <c r="AQ29" s="450"/>
      <c r="AS29" s="449"/>
      <c r="AT29" s="452"/>
      <c r="AU29" s="265"/>
      <c r="AV29" s="266"/>
      <c r="AW29" s="269"/>
      <c r="AX29" s="265"/>
      <c r="AY29" s="266"/>
      <c r="AZ29" s="269"/>
      <c r="BA29" s="265"/>
      <c r="BB29" s="266"/>
      <c r="BC29" s="453"/>
      <c r="BD29" s="450"/>
      <c r="BF29" s="449"/>
      <c r="BG29" s="452"/>
      <c r="BH29" s="265"/>
      <c r="BI29" s="266"/>
      <c r="BJ29" s="269"/>
      <c r="BK29" s="265"/>
      <c r="BL29" s="266"/>
      <c r="BM29" s="269"/>
      <c r="BN29" s="265"/>
      <c r="BO29" s="266"/>
      <c r="BP29" s="453"/>
      <c r="BQ29" s="450"/>
    </row>
    <row r="30" spans="1:69" ht="56.85" hidden="1" customHeight="1" x14ac:dyDescent="0.25">
      <c r="A30" t="s">
        <v>14</v>
      </c>
      <c r="F30" s="449"/>
      <c r="G30" s="452"/>
      <c r="H30" s="267"/>
      <c r="I30" s="268"/>
      <c r="J30" s="269"/>
      <c r="K30" s="267"/>
      <c r="L30" s="268"/>
      <c r="M30" s="269"/>
      <c r="N30" s="267"/>
      <c r="O30" s="268"/>
      <c r="P30" s="453"/>
      <c r="Q30" s="450"/>
      <c r="S30" s="449"/>
      <c r="T30" s="452"/>
      <c r="U30" s="267"/>
      <c r="V30" s="268"/>
      <c r="W30" s="269"/>
      <c r="X30" s="267"/>
      <c r="Y30" s="268"/>
      <c r="Z30" s="269"/>
      <c r="AA30" s="267"/>
      <c r="AB30" s="268"/>
      <c r="AC30" s="453"/>
      <c r="AD30" s="450"/>
      <c r="AF30" s="449"/>
      <c r="AG30" s="452"/>
      <c r="AH30" s="267"/>
      <c r="AI30" s="268"/>
      <c r="AJ30" s="269"/>
      <c r="AK30" s="267"/>
      <c r="AL30" s="268"/>
      <c r="AM30" s="269"/>
      <c r="AN30" s="267"/>
      <c r="AO30" s="268"/>
      <c r="AP30" s="453"/>
      <c r="AQ30" s="450"/>
      <c r="AS30" s="449"/>
      <c r="AT30" s="452"/>
      <c r="AU30" s="267"/>
      <c r="AV30" s="268"/>
      <c r="AW30" s="269"/>
      <c r="AX30" s="267"/>
      <c r="AY30" s="268"/>
      <c r="AZ30" s="269"/>
      <c r="BA30" s="267"/>
      <c r="BB30" s="268"/>
      <c r="BC30" s="453"/>
      <c r="BD30" s="450"/>
      <c r="BF30" s="449"/>
      <c r="BG30" s="452"/>
      <c r="BH30" s="267"/>
      <c r="BI30" s="268"/>
      <c r="BJ30" s="269"/>
      <c r="BK30" s="267"/>
      <c r="BL30" s="268"/>
      <c r="BM30" s="269"/>
      <c r="BN30" s="267"/>
      <c r="BO30" s="268"/>
      <c r="BP30" s="453"/>
      <c r="BQ30" s="450"/>
    </row>
    <row r="31" spans="1:69" hidden="1" x14ac:dyDescent="0.25">
      <c r="A31" t="s">
        <v>15</v>
      </c>
      <c r="F31" s="449"/>
      <c r="G31" s="263"/>
      <c r="H31" s="451"/>
      <c r="I31" s="451"/>
      <c r="J31" s="451"/>
      <c r="K31" s="451"/>
      <c r="L31" s="451"/>
      <c r="M31" s="451"/>
      <c r="N31" s="451"/>
      <c r="O31" s="451"/>
      <c r="P31" s="263"/>
      <c r="Q31" s="450"/>
      <c r="S31" s="449"/>
      <c r="T31" s="263"/>
      <c r="U31" s="451"/>
      <c r="V31" s="451"/>
      <c r="W31" s="451"/>
      <c r="X31" s="451"/>
      <c r="Y31" s="451"/>
      <c r="Z31" s="451"/>
      <c r="AA31" s="451"/>
      <c r="AB31" s="451"/>
      <c r="AC31" s="263"/>
      <c r="AD31" s="450"/>
      <c r="AF31" s="449"/>
      <c r="AG31" s="263"/>
      <c r="AH31" s="451"/>
      <c r="AI31" s="451"/>
      <c r="AJ31" s="451"/>
      <c r="AK31" s="451"/>
      <c r="AL31" s="451"/>
      <c r="AM31" s="451"/>
      <c r="AN31" s="451"/>
      <c r="AO31" s="451"/>
      <c r="AP31" s="263"/>
      <c r="AQ31" s="450"/>
      <c r="AS31" s="449"/>
      <c r="AT31" s="263"/>
      <c r="AU31" s="451"/>
      <c r="AV31" s="451"/>
      <c r="AW31" s="451"/>
      <c r="AX31" s="451"/>
      <c r="AY31" s="451"/>
      <c r="AZ31" s="451"/>
      <c r="BA31" s="451"/>
      <c r="BB31" s="451"/>
      <c r="BC31" s="263"/>
      <c r="BD31" s="450"/>
      <c r="BF31" s="449"/>
      <c r="BG31" s="263"/>
      <c r="BH31" s="451"/>
      <c r="BI31" s="451"/>
      <c r="BJ31" s="451"/>
      <c r="BK31" s="451"/>
      <c r="BL31" s="451"/>
      <c r="BM31" s="451"/>
      <c r="BN31" s="451"/>
      <c r="BO31" s="451"/>
      <c r="BP31" s="263"/>
      <c r="BQ31" s="450"/>
    </row>
    <row r="32" spans="1:69" hidden="1" x14ac:dyDescent="0.25">
      <c r="A32" t="s">
        <v>154</v>
      </c>
      <c r="G32" s="448" t="s">
        <v>1251</v>
      </c>
      <c r="H32" s="448"/>
      <c r="I32" s="448"/>
      <c r="J32" s="448"/>
      <c r="K32" s="448"/>
      <c r="L32" s="448"/>
      <c r="M32" s="448"/>
      <c r="N32" s="448"/>
      <c r="O32" s="448"/>
      <c r="P32" s="448"/>
      <c r="T32" s="448" t="s">
        <v>1251</v>
      </c>
      <c r="U32" s="448"/>
      <c r="V32" s="448"/>
      <c r="W32" s="448"/>
      <c r="X32" s="448"/>
      <c r="Y32" s="448"/>
      <c r="Z32" s="448"/>
      <c r="AA32" s="448"/>
      <c r="AB32" s="448"/>
      <c r="AC32" s="448"/>
      <c r="AG32" s="448" t="s">
        <v>1251</v>
      </c>
      <c r="AH32" s="448"/>
      <c r="AI32" s="448"/>
      <c r="AJ32" s="448"/>
      <c r="AK32" s="448"/>
      <c r="AL32" s="448"/>
      <c r="AM32" s="448"/>
      <c r="AN32" s="448"/>
      <c r="AO32" s="448"/>
      <c r="AP32" s="448"/>
      <c r="AT32" s="448" t="s">
        <v>1251</v>
      </c>
      <c r="AU32" s="448"/>
      <c r="AV32" s="448"/>
      <c r="AW32" s="448"/>
      <c r="AX32" s="448"/>
      <c r="AY32" s="448"/>
      <c r="AZ32" s="448"/>
      <c r="BA32" s="448"/>
      <c r="BB32" s="448"/>
      <c r="BC32" s="448"/>
      <c r="BG32" s="448" t="s">
        <v>1251</v>
      </c>
      <c r="BH32" s="448"/>
      <c r="BI32" s="448"/>
      <c r="BJ32" s="448"/>
      <c r="BK32" s="448"/>
      <c r="BL32" s="448"/>
      <c r="BM32" s="448"/>
      <c r="BN32" s="448"/>
      <c r="BO32" s="448"/>
      <c r="BP32" s="448"/>
    </row>
    <row r="33" spans="1:69" hidden="1" x14ac:dyDescent="0.25">
      <c r="A33" t="s">
        <v>16</v>
      </c>
    </row>
    <row r="34" spans="1:69" x14ac:dyDescent="0.25">
      <c r="A34" t="s">
        <v>17</v>
      </c>
      <c r="G34" s="448" t="s">
        <v>1251</v>
      </c>
      <c r="H34" s="448"/>
      <c r="I34" s="448"/>
      <c r="J34" s="448"/>
      <c r="K34" s="448"/>
      <c r="L34" s="448"/>
      <c r="M34" s="448"/>
      <c r="N34" s="448"/>
      <c r="O34" s="448"/>
      <c r="P34" s="448"/>
      <c r="T34" s="448" t="s">
        <v>1251</v>
      </c>
      <c r="U34" s="448"/>
      <c r="V34" s="448"/>
      <c r="W34" s="448"/>
      <c r="X34" s="448"/>
      <c r="Y34" s="448"/>
      <c r="Z34" s="448"/>
      <c r="AA34" s="448"/>
      <c r="AB34" s="448"/>
      <c r="AC34" s="448"/>
      <c r="AG34" s="448" t="s">
        <v>1251</v>
      </c>
      <c r="AH34" s="448"/>
      <c r="AI34" s="448"/>
      <c r="AJ34" s="448"/>
      <c r="AK34" s="448"/>
      <c r="AL34" s="448"/>
      <c r="AM34" s="448"/>
      <c r="AN34" s="448"/>
      <c r="AO34" s="448"/>
      <c r="AP34" s="448"/>
      <c r="AT34" s="448" t="s">
        <v>1251</v>
      </c>
      <c r="AU34" s="448"/>
      <c r="AV34" s="448"/>
      <c r="AW34" s="448"/>
      <c r="AX34" s="448"/>
      <c r="AY34" s="448"/>
      <c r="AZ34" s="448"/>
      <c r="BA34" s="448"/>
      <c r="BB34" s="448"/>
      <c r="BC34" s="448"/>
      <c r="BG34" s="448" t="s">
        <v>1251</v>
      </c>
      <c r="BH34" s="448"/>
      <c r="BI34" s="448"/>
      <c r="BJ34" s="448"/>
      <c r="BK34" s="448"/>
      <c r="BL34" s="448"/>
      <c r="BM34" s="448"/>
      <c r="BN34" s="448"/>
      <c r="BO34" s="448"/>
      <c r="BP34" s="448"/>
    </row>
    <row r="35" spans="1:69" x14ac:dyDescent="0.25">
      <c r="A35" t="s">
        <v>18</v>
      </c>
      <c r="F35" s="449" t="s">
        <v>1251</v>
      </c>
      <c r="G35" s="263"/>
      <c r="H35" s="451"/>
      <c r="I35" s="451"/>
      <c r="J35" s="451"/>
      <c r="K35" s="451"/>
      <c r="L35" s="451"/>
      <c r="M35" s="451"/>
      <c r="N35" s="451"/>
      <c r="O35" s="451"/>
      <c r="P35" s="263"/>
      <c r="Q35" s="450" t="s">
        <v>1251</v>
      </c>
      <c r="S35" s="449" t="s">
        <v>1251</v>
      </c>
      <c r="T35" s="263"/>
      <c r="U35" s="451"/>
      <c r="V35" s="451"/>
      <c r="W35" s="451"/>
      <c r="X35" s="451"/>
      <c r="Y35" s="451"/>
      <c r="Z35" s="451"/>
      <c r="AA35" s="451"/>
      <c r="AB35" s="451"/>
      <c r="AC35" s="263"/>
      <c r="AD35" s="450" t="s">
        <v>1251</v>
      </c>
      <c r="AF35" s="449" t="s">
        <v>1251</v>
      </c>
      <c r="AG35" s="263"/>
      <c r="AH35" s="451"/>
      <c r="AI35" s="451"/>
      <c r="AJ35" s="451"/>
      <c r="AK35" s="451"/>
      <c r="AL35" s="451"/>
      <c r="AM35" s="451"/>
      <c r="AN35" s="451"/>
      <c r="AO35" s="451"/>
      <c r="AP35" s="263"/>
      <c r="AQ35" s="450" t="s">
        <v>1251</v>
      </c>
      <c r="AS35" s="449" t="s">
        <v>1251</v>
      </c>
      <c r="AT35" s="263"/>
      <c r="AU35" s="451"/>
      <c r="AV35" s="451"/>
      <c r="AW35" s="451"/>
      <c r="AX35" s="451"/>
      <c r="AY35" s="451"/>
      <c r="AZ35" s="451"/>
      <c r="BA35" s="451"/>
      <c r="BB35" s="451"/>
      <c r="BC35" s="263"/>
      <c r="BD35" s="450" t="s">
        <v>1251</v>
      </c>
      <c r="BF35" s="449" t="s">
        <v>1251</v>
      </c>
      <c r="BG35" s="263"/>
      <c r="BH35" s="451"/>
      <c r="BI35" s="451"/>
      <c r="BJ35" s="451"/>
      <c r="BK35" s="451"/>
      <c r="BL35" s="451"/>
      <c r="BM35" s="451"/>
      <c r="BN35" s="451"/>
      <c r="BO35" s="451"/>
      <c r="BP35" s="263"/>
      <c r="BQ35" s="450" t="s">
        <v>1251</v>
      </c>
    </row>
    <row r="36" spans="1:69" ht="56.85" customHeight="1" x14ac:dyDescent="0.25">
      <c r="A36" t="s">
        <v>19</v>
      </c>
      <c r="F36" s="449"/>
      <c r="G36" s="452"/>
      <c r="H36" s="265"/>
      <c r="I36" s="266"/>
      <c r="J36" s="269"/>
      <c r="K36" s="265"/>
      <c r="L36" s="266"/>
      <c r="M36" s="269"/>
      <c r="N36" s="265"/>
      <c r="O36" s="266"/>
      <c r="P36" s="453"/>
      <c r="Q36" s="450"/>
      <c r="S36" s="449"/>
      <c r="T36" s="452"/>
      <c r="U36" s="265"/>
      <c r="V36" s="266"/>
      <c r="W36" s="269"/>
      <c r="X36" s="265"/>
      <c r="Y36" s="266"/>
      <c r="Z36" s="269"/>
      <c r="AA36" s="265"/>
      <c r="AB36" s="266"/>
      <c r="AC36" s="453"/>
      <c r="AD36" s="450"/>
      <c r="AF36" s="449"/>
      <c r="AG36" s="452"/>
      <c r="AH36" s="276"/>
      <c r="AI36" s="277"/>
      <c r="AJ36" s="278"/>
      <c r="AK36" s="276"/>
      <c r="AL36" s="277"/>
      <c r="AM36" s="278"/>
      <c r="AN36" s="276"/>
      <c r="AO36" s="277"/>
      <c r="AP36" s="453"/>
      <c r="AQ36" s="450"/>
      <c r="AS36" s="449"/>
      <c r="AT36" s="452"/>
      <c r="AU36" s="265"/>
      <c r="AV36" s="266"/>
      <c r="AW36" s="269"/>
      <c r="AX36" s="265"/>
      <c r="AY36" s="266"/>
      <c r="AZ36" s="269"/>
      <c r="BA36" s="265"/>
      <c r="BB36" s="266"/>
      <c r="BC36" s="453"/>
      <c r="BD36" s="450"/>
      <c r="BF36" s="449"/>
      <c r="BG36" s="452"/>
      <c r="BH36" s="265"/>
      <c r="BI36" s="266"/>
      <c r="BJ36" s="269"/>
      <c r="BK36" s="265"/>
      <c r="BL36" s="266"/>
      <c r="BM36" s="269"/>
      <c r="BN36" s="265"/>
      <c r="BO36" s="266"/>
      <c r="BP36" s="453"/>
      <c r="BQ36" s="450"/>
    </row>
    <row r="37" spans="1:69" ht="56.85" customHeight="1" x14ac:dyDescent="0.25">
      <c r="A37" t="s">
        <v>374</v>
      </c>
      <c r="F37" s="449"/>
      <c r="G37" s="452"/>
      <c r="H37" s="267"/>
      <c r="I37" s="268"/>
      <c r="J37" s="269"/>
      <c r="K37" s="267"/>
      <c r="L37" s="268"/>
      <c r="M37" s="269"/>
      <c r="N37" s="267"/>
      <c r="O37" s="268"/>
      <c r="P37" s="453"/>
      <c r="Q37" s="450"/>
      <c r="S37" s="449"/>
      <c r="T37" s="452"/>
      <c r="U37" s="267"/>
      <c r="V37" s="268"/>
      <c r="W37" s="269"/>
      <c r="X37" s="267"/>
      <c r="Y37" s="268"/>
      <c r="Z37" s="269"/>
      <c r="AA37" s="267"/>
      <c r="AB37" s="268"/>
      <c r="AC37" s="453"/>
      <c r="AD37" s="450"/>
      <c r="AF37" s="449"/>
      <c r="AG37" s="452"/>
      <c r="AH37" s="279"/>
      <c r="AI37" s="280"/>
      <c r="AJ37" s="278"/>
      <c r="AK37" s="279"/>
      <c r="AL37" s="280"/>
      <c r="AM37" s="278"/>
      <c r="AN37" s="279"/>
      <c r="AO37" s="280"/>
      <c r="AP37" s="453"/>
      <c r="AQ37" s="450"/>
      <c r="AS37" s="449"/>
      <c r="AT37" s="452"/>
      <c r="AU37" s="267"/>
      <c r="AV37" s="268"/>
      <c r="AW37" s="269"/>
      <c r="AX37" s="267"/>
      <c r="AY37" s="268"/>
      <c r="AZ37" s="269"/>
      <c r="BA37" s="267"/>
      <c r="BB37" s="268"/>
      <c r="BC37" s="453"/>
      <c r="BD37" s="450"/>
      <c r="BF37" s="449"/>
      <c r="BG37" s="452"/>
      <c r="BH37" s="267"/>
      <c r="BI37" s="268"/>
      <c r="BJ37" s="269"/>
      <c r="BK37" s="267"/>
      <c r="BL37" s="268"/>
      <c r="BM37" s="269"/>
      <c r="BN37" s="267"/>
      <c r="BO37" s="268"/>
      <c r="BP37" s="453"/>
      <c r="BQ37" s="450"/>
    </row>
    <row r="38" spans="1:69" x14ac:dyDescent="0.25">
      <c r="A38" t="s">
        <v>20</v>
      </c>
      <c r="F38" s="449"/>
      <c r="G38" s="452"/>
      <c r="H38" s="269"/>
      <c r="I38" s="269"/>
      <c r="J38" s="269"/>
      <c r="K38" s="269"/>
      <c r="L38" s="269"/>
      <c r="M38" s="269"/>
      <c r="N38" s="269"/>
      <c r="O38" s="269"/>
      <c r="P38" s="453"/>
      <c r="Q38" s="450"/>
      <c r="S38" s="449"/>
      <c r="T38" s="452"/>
      <c r="U38" s="269"/>
      <c r="V38" s="269"/>
      <c r="W38" s="269"/>
      <c r="X38" s="269"/>
      <c r="Y38" s="269"/>
      <c r="Z38" s="269"/>
      <c r="AA38" s="269"/>
      <c r="AB38" s="269"/>
      <c r="AC38" s="453"/>
      <c r="AD38" s="450"/>
      <c r="AF38" s="449"/>
      <c r="AG38" s="452"/>
      <c r="AH38" s="278"/>
      <c r="AI38" s="278"/>
      <c r="AJ38" s="278"/>
      <c r="AK38" s="278"/>
      <c r="AL38" s="278"/>
      <c r="AM38" s="278"/>
      <c r="AN38" s="278"/>
      <c r="AO38" s="278"/>
      <c r="AP38" s="453"/>
      <c r="AQ38" s="450"/>
      <c r="AS38" s="449"/>
      <c r="AT38" s="452"/>
      <c r="AU38" s="269"/>
      <c r="AV38" s="269"/>
      <c r="AW38" s="269"/>
      <c r="AX38" s="269"/>
      <c r="AY38" s="269"/>
      <c r="AZ38" s="269"/>
      <c r="BA38" s="269"/>
      <c r="BB38" s="269"/>
      <c r="BC38" s="453"/>
      <c r="BD38" s="450"/>
      <c r="BF38" s="449"/>
      <c r="BG38" s="452"/>
      <c r="BH38" s="269"/>
      <c r="BI38" s="269"/>
      <c r="BJ38" s="269"/>
      <c r="BK38" s="269"/>
      <c r="BL38" s="269"/>
      <c r="BM38" s="269"/>
      <c r="BN38" s="269"/>
      <c r="BO38" s="269"/>
      <c r="BP38" s="453"/>
      <c r="BQ38" s="450"/>
    </row>
    <row r="39" spans="1:69" ht="56.85" customHeight="1" x14ac:dyDescent="0.25">
      <c r="A39" t="s">
        <v>21</v>
      </c>
      <c r="F39" s="449"/>
      <c r="G39" s="452"/>
      <c r="H39" s="265"/>
      <c r="I39" s="266"/>
      <c r="J39" s="269"/>
      <c r="K39" s="265"/>
      <c r="L39" s="266"/>
      <c r="M39" s="269"/>
      <c r="N39" s="265"/>
      <c r="O39" s="266"/>
      <c r="P39" s="453"/>
      <c r="Q39" s="450"/>
      <c r="S39" s="449"/>
      <c r="T39" s="452"/>
      <c r="U39" s="265"/>
      <c r="V39" s="266"/>
      <c r="W39" s="269"/>
      <c r="X39" s="265"/>
      <c r="Y39" s="266"/>
      <c r="Z39" s="269"/>
      <c r="AA39" s="265"/>
      <c r="AB39" s="266"/>
      <c r="AC39" s="453"/>
      <c r="AD39" s="450"/>
      <c r="AF39" s="449"/>
      <c r="AG39" s="452"/>
      <c r="AH39" s="276"/>
      <c r="AI39" s="277"/>
      <c r="AJ39" s="278"/>
      <c r="AK39" s="276"/>
      <c r="AL39" s="277"/>
      <c r="AM39" s="278"/>
      <c r="AN39" s="276"/>
      <c r="AO39" s="277"/>
      <c r="AP39" s="453"/>
      <c r="AQ39" s="450"/>
      <c r="AS39" s="449"/>
      <c r="AT39" s="452"/>
      <c r="AU39" s="265"/>
      <c r="AV39" s="266"/>
      <c r="AW39" s="269"/>
      <c r="AX39" s="265"/>
      <c r="AY39" s="266"/>
      <c r="AZ39" s="269"/>
      <c r="BA39" s="265"/>
      <c r="BB39" s="266"/>
      <c r="BC39" s="453"/>
      <c r="BD39" s="450"/>
      <c r="BF39" s="449"/>
      <c r="BG39" s="452"/>
      <c r="BH39" s="265"/>
      <c r="BI39" s="266"/>
      <c r="BJ39" s="269"/>
      <c r="BK39" s="265"/>
      <c r="BL39" s="266"/>
      <c r="BM39" s="269"/>
      <c r="BN39" s="265"/>
      <c r="BO39" s="266"/>
      <c r="BP39" s="453"/>
      <c r="BQ39" s="450"/>
    </row>
    <row r="40" spans="1:69" ht="56.85" customHeight="1" x14ac:dyDescent="0.25">
      <c r="A40" t="s">
        <v>22</v>
      </c>
      <c r="F40" s="449"/>
      <c r="G40" s="452"/>
      <c r="H40" s="267"/>
      <c r="I40" s="268"/>
      <c r="J40" s="269"/>
      <c r="K40" s="267"/>
      <c r="L40" s="268"/>
      <c r="M40" s="269"/>
      <c r="N40" s="267"/>
      <c r="O40" s="268"/>
      <c r="P40" s="453"/>
      <c r="Q40" s="450"/>
      <c r="S40" s="449"/>
      <c r="T40" s="452"/>
      <c r="U40" s="267"/>
      <c r="V40" s="268"/>
      <c r="W40" s="269"/>
      <c r="X40" s="267"/>
      <c r="Y40" s="268"/>
      <c r="Z40" s="269"/>
      <c r="AA40" s="267"/>
      <c r="AB40" s="268"/>
      <c r="AC40" s="453"/>
      <c r="AD40" s="450"/>
      <c r="AF40" s="449"/>
      <c r="AG40" s="452"/>
      <c r="AH40" s="279"/>
      <c r="AI40" s="280"/>
      <c r="AJ40" s="278"/>
      <c r="AK40" s="279"/>
      <c r="AL40" s="280"/>
      <c r="AM40" s="278"/>
      <c r="AN40" s="279"/>
      <c r="AO40" s="280"/>
      <c r="AP40" s="453"/>
      <c r="AQ40" s="450"/>
      <c r="AS40" s="449"/>
      <c r="AT40" s="452"/>
      <c r="AU40" s="267"/>
      <c r="AV40" s="268"/>
      <c r="AW40" s="269"/>
      <c r="AX40" s="267"/>
      <c r="AY40" s="268"/>
      <c r="AZ40" s="269"/>
      <c r="BA40" s="267"/>
      <c r="BB40" s="268"/>
      <c r="BC40" s="453"/>
      <c r="BD40" s="450"/>
      <c r="BF40" s="449"/>
      <c r="BG40" s="452"/>
      <c r="BH40" s="267"/>
      <c r="BI40" s="268"/>
      <c r="BJ40" s="269"/>
      <c r="BK40" s="267"/>
      <c r="BL40" s="268"/>
      <c r="BM40" s="269"/>
      <c r="BN40" s="267"/>
      <c r="BO40" s="268"/>
      <c r="BP40" s="453"/>
      <c r="BQ40" s="450"/>
    </row>
    <row r="41" spans="1:69" x14ac:dyDescent="0.25">
      <c r="A41" t="s">
        <v>23</v>
      </c>
      <c r="F41" s="449"/>
      <c r="G41" s="452"/>
      <c r="H41" s="269"/>
      <c r="I41" s="269"/>
      <c r="J41" s="269"/>
      <c r="K41" s="269"/>
      <c r="L41" s="269"/>
      <c r="M41" s="269"/>
      <c r="N41" s="269"/>
      <c r="O41" s="269"/>
      <c r="P41" s="453"/>
      <c r="Q41" s="450"/>
      <c r="S41" s="449"/>
      <c r="T41" s="452"/>
      <c r="U41" s="269"/>
      <c r="V41" s="269"/>
      <c r="W41" s="269"/>
      <c r="X41" s="269"/>
      <c r="Y41" s="269"/>
      <c r="Z41" s="269"/>
      <c r="AA41" s="269"/>
      <c r="AB41" s="269"/>
      <c r="AC41" s="453"/>
      <c r="AD41" s="450"/>
      <c r="AF41" s="449"/>
      <c r="AG41" s="452"/>
      <c r="AH41" s="278"/>
      <c r="AI41" s="278"/>
      <c r="AJ41" s="278"/>
      <c r="AK41" s="278"/>
      <c r="AL41" s="278"/>
      <c r="AM41" s="278"/>
      <c r="AN41" s="278"/>
      <c r="AO41" s="278"/>
      <c r="AP41" s="453"/>
      <c r="AQ41" s="450"/>
      <c r="AS41" s="449"/>
      <c r="AT41" s="452"/>
      <c r="AU41" s="269"/>
      <c r="AV41" s="269"/>
      <c r="AW41" s="269"/>
      <c r="AX41" s="269"/>
      <c r="AY41" s="269"/>
      <c r="AZ41" s="269"/>
      <c r="BA41" s="269"/>
      <c r="BB41" s="269"/>
      <c r="BC41" s="453"/>
      <c r="BD41" s="450"/>
      <c r="BF41" s="449"/>
      <c r="BG41" s="452"/>
      <c r="BH41" s="269"/>
      <c r="BI41" s="269"/>
      <c r="BJ41" s="269"/>
      <c r="BK41" s="269"/>
      <c r="BL41" s="269"/>
      <c r="BM41" s="269"/>
      <c r="BN41" s="269"/>
      <c r="BO41" s="269"/>
      <c r="BP41" s="453"/>
      <c r="BQ41" s="450"/>
    </row>
    <row r="42" spans="1:69" ht="56.85" customHeight="1" x14ac:dyDescent="0.25">
      <c r="A42" t="s">
        <v>24</v>
      </c>
      <c r="F42" s="449"/>
      <c r="G42" s="452"/>
      <c r="H42" s="265"/>
      <c r="I42" s="266"/>
      <c r="J42" s="269"/>
      <c r="K42" s="265"/>
      <c r="L42" s="266"/>
      <c r="M42" s="269"/>
      <c r="N42" s="265"/>
      <c r="O42" s="266"/>
      <c r="P42" s="453"/>
      <c r="Q42" s="450"/>
      <c r="S42" s="449"/>
      <c r="T42" s="452"/>
      <c r="U42" s="265"/>
      <c r="V42" s="266"/>
      <c r="W42" s="269"/>
      <c r="X42" s="265"/>
      <c r="Y42" s="266"/>
      <c r="Z42" s="269"/>
      <c r="AA42" s="265"/>
      <c r="AB42" s="266"/>
      <c r="AC42" s="453"/>
      <c r="AD42" s="450"/>
      <c r="AF42" s="449"/>
      <c r="AG42" s="452"/>
      <c r="AH42" s="276"/>
      <c r="AI42" s="277"/>
      <c r="AJ42" s="278"/>
      <c r="AK42" s="276"/>
      <c r="AL42" s="277"/>
      <c r="AM42" s="278"/>
      <c r="AN42" s="276"/>
      <c r="AO42" s="277"/>
      <c r="AP42" s="453"/>
      <c r="AQ42" s="450"/>
      <c r="AS42" s="449"/>
      <c r="AT42" s="452"/>
      <c r="AU42" s="265"/>
      <c r="AV42" s="266"/>
      <c r="AW42" s="269"/>
      <c r="AX42" s="265"/>
      <c r="AY42" s="266"/>
      <c r="AZ42" s="269"/>
      <c r="BA42" s="265"/>
      <c r="BB42" s="266"/>
      <c r="BC42" s="453"/>
      <c r="BD42" s="450"/>
      <c r="BF42" s="449"/>
      <c r="BG42" s="452"/>
      <c r="BH42" s="265"/>
      <c r="BI42" s="266"/>
      <c r="BJ42" s="269"/>
      <c r="BK42" s="265"/>
      <c r="BL42" s="266"/>
      <c r="BM42" s="269"/>
      <c r="BN42" s="265"/>
      <c r="BO42" s="266"/>
      <c r="BP42" s="453"/>
      <c r="BQ42" s="450"/>
    </row>
    <row r="43" spans="1:69" ht="56.85" customHeight="1" x14ac:dyDescent="0.25">
      <c r="A43" t="s">
        <v>25</v>
      </c>
      <c r="F43" s="449"/>
      <c r="G43" s="452"/>
      <c r="H43" s="267"/>
      <c r="I43" s="268"/>
      <c r="J43" s="269"/>
      <c r="K43" s="267"/>
      <c r="L43" s="268"/>
      <c r="M43" s="269"/>
      <c r="N43" s="267"/>
      <c r="O43" s="268"/>
      <c r="P43" s="453"/>
      <c r="Q43" s="450"/>
      <c r="S43" s="449"/>
      <c r="T43" s="452"/>
      <c r="U43" s="267"/>
      <c r="V43" s="268"/>
      <c r="W43" s="269"/>
      <c r="X43" s="267"/>
      <c r="Y43" s="268"/>
      <c r="Z43" s="269"/>
      <c r="AA43" s="267"/>
      <c r="AB43" s="268"/>
      <c r="AC43" s="453"/>
      <c r="AD43" s="450"/>
      <c r="AF43" s="449"/>
      <c r="AG43" s="452"/>
      <c r="AH43" s="279"/>
      <c r="AI43" s="280"/>
      <c r="AJ43" s="278"/>
      <c r="AK43" s="279"/>
      <c r="AL43" s="280"/>
      <c r="AM43" s="278"/>
      <c r="AN43" s="279"/>
      <c r="AO43" s="280"/>
      <c r="AP43" s="453"/>
      <c r="AQ43" s="450"/>
      <c r="AS43" s="449"/>
      <c r="AT43" s="452"/>
      <c r="AU43" s="267"/>
      <c r="AV43" s="268"/>
      <c r="AW43" s="269"/>
      <c r="AX43" s="267"/>
      <c r="AY43" s="268"/>
      <c r="AZ43" s="269"/>
      <c r="BA43" s="267"/>
      <c r="BB43" s="268"/>
      <c r="BC43" s="453"/>
      <c r="BD43" s="450"/>
      <c r="BF43" s="449"/>
      <c r="BG43" s="452"/>
      <c r="BH43" s="267"/>
      <c r="BI43" s="268"/>
      <c r="BJ43" s="269"/>
      <c r="BK43" s="267"/>
      <c r="BL43" s="268"/>
      <c r="BM43" s="269"/>
      <c r="BN43" s="267"/>
      <c r="BO43" s="268"/>
      <c r="BP43" s="453"/>
      <c r="BQ43" s="450"/>
    </row>
    <row r="44" spans="1:69" x14ac:dyDescent="0.25">
      <c r="A44" t="s">
        <v>375</v>
      </c>
      <c r="F44" s="449"/>
      <c r="G44" s="263"/>
      <c r="H44" s="451"/>
      <c r="I44" s="451"/>
      <c r="J44" s="451"/>
      <c r="K44" s="451"/>
      <c r="L44" s="451"/>
      <c r="M44" s="451"/>
      <c r="N44" s="451"/>
      <c r="O44" s="451"/>
      <c r="P44" s="263"/>
      <c r="Q44" s="450"/>
      <c r="S44" s="449"/>
      <c r="T44" s="263"/>
      <c r="U44" s="451"/>
      <c r="V44" s="451"/>
      <c r="W44" s="451"/>
      <c r="X44" s="451"/>
      <c r="Y44" s="451"/>
      <c r="Z44" s="451"/>
      <c r="AA44" s="451"/>
      <c r="AB44" s="451"/>
      <c r="AC44" s="263"/>
      <c r="AD44" s="450"/>
      <c r="AF44" s="449"/>
      <c r="AG44" s="263"/>
      <c r="AH44" s="451"/>
      <c r="AI44" s="451"/>
      <c r="AJ44" s="451"/>
      <c r="AK44" s="451"/>
      <c r="AL44" s="451"/>
      <c r="AM44" s="451"/>
      <c r="AN44" s="451"/>
      <c r="AO44" s="451"/>
      <c r="AP44" s="263"/>
      <c r="AQ44" s="450"/>
      <c r="AS44" s="449"/>
      <c r="AT44" s="263"/>
      <c r="AU44" s="451"/>
      <c r="AV44" s="451"/>
      <c r="AW44" s="451"/>
      <c r="AX44" s="451"/>
      <c r="AY44" s="451"/>
      <c r="AZ44" s="451"/>
      <c r="BA44" s="451"/>
      <c r="BB44" s="451"/>
      <c r="BC44" s="263"/>
      <c r="BD44" s="450"/>
      <c r="BF44" s="449"/>
      <c r="BG44" s="263"/>
      <c r="BH44" s="451"/>
      <c r="BI44" s="451"/>
      <c r="BJ44" s="451"/>
      <c r="BK44" s="451"/>
      <c r="BL44" s="451"/>
      <c r="BM44" s="451"/>
      <c r="BN44" s="451"/>
      <c r="BO44" s="451"/>
      <c r="BP44" s="263"/>
      <c r="BQ44" s="450"/>
    </row>
    <row r="45" spans="1:69" x14ac:dyDescent="0.25">
      <c r="A45" t="s">
        <v>26</v>
      </c>
      <c r="G45" s="448" t="s">
        <v>1251</v>
      </c>
      <c r="H45" s="448"/>
      <c r="I45" s="448"/>
      <c r="J45" s="448"/>
      <c r="K45" s="448"/>
      <c r="L45" s="448"/>
      <c r="M45" s="448"/>
      <c r="N45" s="448"/>
      <c r="O45" s="448"/>
      <c r="P45" s="448"/>
      <c r="T45" s="448" t="s">
        <v>1251</v>
      </c>
      <c r="U45" s="448"/>
      <c r="V45" s="448"/>
      <c r="W45" s="448"/>
      <c r="X45" s="448"/>
      <c r="Y45" s="448"/>
      <c r="Z45" s="448"/>
      <c r="AA45" s="448"/>
      <c r="AB45" s="448"/>
      <c r="AC45" s="448"/>
      <c r="AG45" s="448" t="s">
        <v>1251</v>
      </c>
      <c r="AH45" s="448"/>
      <c r="AI45" s="448"/>
      <c r="AJ45" s="448"/>
      <c r="AK45" s="448"/>
      <c r="AL45" s="448"/>
      <c r="AM45" s="448"/>
      <c r="AN45" s="448"/>
      <c r="AO45" s="448"/>
      <c r="AP45" s="448"/>
      <c r="AT45" s="448" t="s">
        <v>1251</v>
      </c>
      <c r="AU45" s="448"/>
      <c r="AV45" s="448"/>
      <c r="AW45" s="448"/>
      <c r="AX45" s="448"/>
      <c r="AY45" s="448"/>
      <c r="AZ45" s="448"/>
      <c r="BA45" s="448"/>
      <c r="BB45" s="448"/>
      <c r="BC45" s="448"/>
      <c r="BG45" s="448" t="s">
        <v>1251</v>
      </c>
      <c r="BH45" s="448"/>
      <c r="BI45" s="448"/>
      <c r="BJ45" s="448"/>
      <c r="BK45" s="448"/>
      <c r="BL45" s="448"/>
      <c r="BM45" s="448"/>
      <c r="BN45" s="448"/>
      <c r="BO45" s="448"/>
      <c r="BP45" s="448"/>
    </row>
    <row r="46" spans="1:69" hidden="1" x14ac:dyDescent="0.25">
      <c r="A46" t="s">
        <v>27</v>
      </c>
    </row>
    <row r="47" spans="1:69" hidden="1" x14ac:dyDescent="0.25">
      <c r="A47" t="s">
        <v>376</v>
      </c>
      <c r="G47" s="448" t="s">
        <v>1251</v>
      </c>
      <c r="H47" s="448"/>
      <c r="I47" s="448"/>
      <c r="J47" s="448"/>
      <c r="K47" s="448"/>
      <c r="L47" s="448"/>
      <c r="M47" s="448"/>
      <c r="N47" s="448"/>
      <c r="O47" s="448"/>
      <c r="P47" s="448"/>
      <c r="T47" s="448" t="s">
        <v>1251</v>
      </c>
      <c r="U47" s="448"/>
      <c r="V47" s="448"/>
      <c r="W47" s="448"/>
      <c r="X47" s="448"/>
      <c r="Y47" s="448"/>
      <c r="Z47" s="448"/>
      <c r="AA47" s="448"/>
      <c r="AB47" s="448"/>
      <c r="AC47" s="448"/>
      <c r="AG47" s="448" t="s">
        <v>1251</v>
      </c>
      <c r="AH47" s="448"/>
      <c r="AI47" s="448"/>
      <c r="AJ47" s="448"/>
      <c r="AK47" s="448"/>
      <c r="AL47" s="448"/>
      <c r="AM47" s="448"/>
      <c r="AN47" s="448"/>
      <c r="AO47" s="448"/>
      <c r="AP47" s="448"/>
      <c r="AT47" s="448" t="s">
        <v>1251</v>
      </c>
      <c r="AU47" s="448"/>
      <c r="AV47" s="448"/>
      <c r="AW47" s="448"/>
      <c r="AX47" s="448"/>
      <c r="AY47" s="448"/>
      <c r="AZ47" s="448"/>
      <c r="BA47" s="448"/>
      <c r="BB47" s="448"/>
      <c r="BC47" s="448"/>
      <c r="BG47" s="448" t="s">
        <v>1251</v>
      </c>
      <c r="BH47" s="448"/>
      <c r="BI47" s="448"/>
      <c r="BJ47" s="448"/>
      <c r="BK47" s="448"/>
      <c r="BL47" s="448"/>
      <c r="BM47" s="448"/>
      <c r="BN47" s="448"/>
      <c r="BO47" s="448"/>
      <c r="BP47" s="448"/>
    </row>
    <row r="48" spans="1:69" hidden="1" x14ac:dyDescent="0.25">
      <c r="A48" t="s">
        <v>28</v>
      </c>
      <c r="F48" s="449" t="s">
        <v>1251</v>
      </c>
      <c r="G48" s="263"/>
      <c r="H48" s="451"/>
      <c r="I48" s="451"/>
      <c r="J48" s="451"/>
      <c r="K48" s="451"/>
      <c r="L48" s="451"/>
      <c r="M48" s="451"/>
      <c r="N48" s="451"/>
      <c r="O48" s="451"/>
      <c r="P48" s="263"/>
      <c r="Q48" s="450" t="s">
        <v>1251</v>
      </c>
      <c r="S48" s="449" t="s">
        <v>1251</v>
      </c>
      <c r="T48" s="263"/>
      <c r="U48" s="451"/>
      <c r="V48" s="451"/>
      <c r="W48" s="451"/>
      <c r="X48" s="451"/>
      <c r="Y48" s="451"/>
      <c r="Z48" s="451"/>
      <c r="AA48" s="451"/>
      <c r="AB48" s="451"/>
      <c r="AC48" s="263"/>
      <c r="AD48" s="450" t="s">
        <v>1251</v>
      </c>
      <c r="AF48" s="449" t="s">
        <v>1251</v>
      </c>
      <c r="AG48" s="263"/>
      <c r="AH48" s="451"/>
      <c r="AI48" s="451"/>
      <c r="AJ48" s="451"/>
      <c r="AK48" s="451"/>
      <c r="AL48" s="451"/>
      <c r="AM48" s="451"/>
      <c r="AN48" s="451"/>
      <c r="AO48" s="451"/>
      <c r="AP48" s="263"/>
      <c r="AQ48" s="450" t="s">
        <v>1251</v>
      </c>
      <c r="AS48" s="449" t="s">
        <v>1251</v>
      </c>
      <c r="AT48" s="263"/>
      <c r="AU48" s="451"/>
      <c r="AV48" s="451"/>
      <c r="AW48" s="451"/>
      <c r="AX48" s="451"/>
      <c r="AY48" s="451"/>
      <c r="AZ48" s="451"/>
      <c r="BA48" s="451"/>
      <c r="BB48" s="451"/>
      <c r="BC48" s="263"/>
      <c r="BD48" s="450" t="s">
        <v>1251</v>
      </c>
      <c r="BF48" s="449" t="s">
        <v>1251</v>
      </c>
      <c r="BG48" s="263"/>
      <c r="BH48" s="451"/>
      <c r="BI48" s="451"/>
      <c r="BJ48" s="451"/>
      <c r="BK48" s="451"/>
      <c r="BL48" s="451"/>
      <c r="BM48" s="451"/>
      <c r="BN48" s="451"/>
      <c r="BO48" s="451"/>
      <c r="BP48" s="263"/>
      <c r="BQ48" s="450" t="s">
        <v>1251</v>
      </c>
    </row>
    <row r="49" spans="1:69" ht="56.85" hidden="1" customHeight="1" x14ac:dyDescent="0.25">
      <c r="A49" t="s">
        <v>1248</v>
      </c>
      <c r="F49" s="449"/>
      <c r="G49" s="452"/>
      <c r="H49" s="265"/>
      <c r="I49" s="266"/>
      <c r="J49" s="269"/>
      <c r="K49" s="265"/>
      <c r="L49" s="266"/>
      <c r="M49" s="269"/>
      <c r="N49" s="265"/>
      <c r="O49" s="266"/>
      <c r="P49" s="453"/>
      <c r="Q49" s="450"/>
      <c r="S49" s="449"/>
      <c r="T49" s="452"/>
      <c r="U49" s="265"/>
      <c r="V49" s="266"/>
      <c r="W49" s="269"/>
      <c r="X49" s="265"/>
      <c r="Y49" s="266"/>
      <c r="Z49" s="269"/>
      <c r="AA49" s="265"/>
      <c r="AB49" s="266"/>
      <c r="AC49" s="453"/>
      <c r="AD49" s="450"/>
      <c r="AF49" s="449"/>
      <c r="AG49" s="452"/>
      <c r="AH49" s="265"/>
      <c r="AI49" s="266"/>
      <c r="AJ49" s="269"/>
      <c r="AK49" s="265"/>
      <c r="AL49" s="266"/>
      <c r="AM49" s="269"/>
      <c r="AN49" s="265"/>
      <c r="AO49" s="266"/>
      <c r="AP49" s="453"/>
      <c r="AQ49" s="450"/>
      <c r="AS49" s="449"/>
      <c r="AT49" s="452"/>
      <c r="AU49" s="265"/>
      <c r="AV49" s="266"/>
      <c r="AW49" s="269"/>
      <c r="AX49" s="265"/>
      <c r="AY49" s="266"/>
      <c r="AZ49" s="269"/>
      <c r="BA49" s="265"/>
      <c r="BB49" s="266"/>
      <c r="BC49" s="453"/>
      <c r="BD49" s="450"/>
      <c r="BF49" s="449"/>
      <c r="BG49" s="452"/>
      <c r="BH49" s="265"/>
      <c r="BI49" s="266"/>
      <c r="BJ49" s="269"/>
      <c r="BK49" s="265"/>
      <c r="BL49" s="266"/>
      <c r="BM49" s="269"/>
      <c r="BN49" s="265"/>
      <c r="BO49" s="266"/>
      <c r="BP49" s="453"/>
      <c r="BQ49" s="450"/>
    </row>
    <row r="50" spans="1:69" ht="56.85" hidden="1" customHeight="1" x14ac:dyDescent="0.25">
      <c r="A50" t="s">
        <v>29</v>
      </c>
      <c r="F50" s="449"/>
      <c r="G50" s="452"/>
      <c r="H50" s="267"/>
      <c r="I50" s="268"/>
      <c r="J50" s="269"/>
      <c r="K50" s="267"/>
      <c r="L50" s="268"/>
      <c r="M50" s="269"/>
      <c r="N50" s="267"/>
      <c r="O50" s="268"/>
      <c r="P50" s="453"/>
      <c r="Q50" s="450"/>
      <c r="S50" s="449"/>
      <c r="T50" s="452"/>
      <c r="U50" s="267"/>
      <c r="V50" s="268"/>
      <c r="W50" s="269"/>
      <c r="X50" s="267"/>
      <c r="Y50" s="268"/>
      <c r="Z50" s="269"/>
      <c r="AA50" s="267"/>
      <c r="AB50" s="268"/>
      <c r="AC50" s="453"/>
      <c r="AD50" s="450"/>
      <c r="AF50" s="449"/>
      <c r="AG50" s="452"/>
      <c r="AH50" s="267"/>
      <c r="AI50" s="268"/>
      <c r="AJ50" s="269"/>
      <c r="AK50" s="267"/>
      <c r="AL50" s="268"/>
      <c r="AM50" s="269"/>
      <c r="AN50" s="267"/>
      <c r="AO50" s="268"/>
      <c r="AP50" s="453"/>
      <c r="AQ50" s="450"/>
      <c r="AS50" s="449"/>
      <c r="AT50" s="452"/>
      <c r="AU50" s="267"/>
      <c r="AV50" s="268"/>
      <c r="AW50" s="269"/>
      <c r="AX50" s="267"/>
      <c r="AY50" s="268"/>
      <c r="AZ50" s="269"/>
      <c r="BA50" s="267"/>
      <c r="BB50" s="268"/>
      <c r="BC50" s="453"/>
      <c r="BD50" s="450"/>
      <c r="BF50" s="449"/>
      <c r="BG50" s="452"/>
      <c r="BH50" s="267"/>
      <c r="BI50" s="268"/>
      <c r="BJ50" s="269"/>
      <c r="BK50" s="267"/>
      <c r="BL50" s="268"/>
      <c r="BM50" s="269"/>
      <c r="BN50" s="267"/>
      <c r="BO50" s="268"/>
      <c r="BP50" s="453"/>
      <c r="BQ50" s="450"/>
    </row>
    <row r="51" spans="1:69" hidden="1" x14ac:dyDescent="0.25">
      <c r="A51" t="s">
        <v>30</v>
      </c>
      <c r="F51" s="449"/>
      <c r="G51" s="452"/>
      <c r="H51" s="269"/>
      <c r="I51" s="269"/>
      <c r="J51" s="269"/>
      <c r="K51" s="269"/>
      <c r="L51" s="269"/>
      <c r="M51" s="269"/>
      <c r="N51" s="269"/>
      <c r="O51" s="269"/>
      <c r="P51" s="453"/>
      <c r="Q51" s="450"/>
      <c r="S51" s="449"/>
      <c r="T51" s="452"/>
      <c r="U51" s="269"/>
      <c r="V51" s="269"/>
      <c r="W51" s="269"/>
      <c r="X51" s="269"/>
      <c r="Y51" s="269"/>
      <c r="Z51" s="269"/>
      <c r="AA51" s="269"/>
      <c r="AB51" s="269"/>
      <c r="AC51" s="453"/>
      <c r="AD51" s="450"/>
      <c r="AF51" s="449"/>
      <c r="AG51" s="452"/>
      <c r="AH51" s="269"/>
      <c r="AI51" s="269"/>
      <c r="AJ51" s="269"/>
      <c r="AK51" s="269"/>
      <c r="AL51" s="269"/>
      <c r="AM51" s="269"/>
      <c r="AN51" s="269"/>
      <c r="AO51" s="269"/>
      <c r="AP51" s="453"/>
      <c r="AQ51" s="450"/>
      <c r="AS51" s="449"/>
      <c r="AT51" s="452"/>
      <c r="AU51" s="269"/>
      <c r="AV51" s="269"/>
      <c r="AW51" s="269"/>
      <c r="AX51" s="269"/>
      <c r="AY51" s="269"/>
      <c r="AZ51" s="269"/>
      <c r="BA51" s="269"/>
      <c r="BB51" s="269"/>
      <c r="BC51" s="453"/>
      <c r="BD51" s="450"/>
      <c r="BF51" s="449"/>
      <c r="BG51" s="452"/>
      <c r="BH51" s="269"/>
      <c r="BI51" s="269"/>
      <c r="BJ51" s="269"/>
      <c r="BK51" s="269"/>
      <c r="BL51" s="269"/>
      <c r="BM51" s="269"/>
      <c r="BN51" s="269"/>
      <c r="BO51" s="269"/>
      <c r="BP51" s="453"/>
      <c r="BQ51" s="450"/>
    </row>
    <row r="52" spans="1:69" ht="56.85" hidden="1" customHeight="1" x14ac:dyDescent="0.25">
      <c r="A52" t="s">
        <v>31</v>
      </c>
      <c r="F52" s="449"/>
      <c r="G52" s="452"/>
      <c r="H52" s="265"/>
      <c r="I52" s="266"/>
      <c r="J52" s="269"/>
      <c r="K52" s="265"/>
      <c r="L52" s="266"/>
      <c r="M52" s="269"/>
      <c r="N52" s="265"/>
      <c r="O52" s="266"/>
      <c r="P52" s="453"/>
      <c r="Q52" s="450"/>
      <c r="S52" s="449"/>
      <c r="T52" s="452"/>
      <c r="U52" s="265"/>
      <c r="V52" s="266"/>
      <c r="W52" s="269"/>
      <c r="X52" s="265"/>
      <c r="Y52" s="266"/>
      <c r="Z52" s="269"/>
      <c r="AA52" s="265"/>
      <c r="AB52" s="266"/>
      <c r="AC52" s="453"/>
      <c r="AD52" s="450"/>
      <c r="AF52" s="449"/>
      <c r="AG52" s="452"/>
      <c r="AH52" s="265"/>
      <c r="AI52" s="266"/>
      <c r="AJ52" s="269"/>
      <c r="AK52" s="265"/>
      <c r="AL52" s="266"/>
      <c r="AM52" s="269"/>
      <c r="AN52" s="265"/>
      <c r="AO52" s="266"/>
      <c r="AP52" s="453"/>
      <c r="AQ52" s="450"/>
      <c r="AS52" s="449"/>
      <c r="AT52" s="452"/>
      <c r="AU52" s="265"/>
      <c r="AV52" s="266"/>
      <c r="AW52" s="269"/>
      <c r="AX52" s="265"/>
      <c r="AY52" s="266"/>
      <c r="AZ52" s="269"/>
      <c r="BA52" s="265"/>
      <c r="BB52" s="266"/>
      <c r="BC52" s="453"/>
      <c r="BD52" s="450"/>
      <c r="BF52" s="449"/>
      <c r="BG52" s="452"/>
      <c r="BH52" s="265"/>
      <c r="BI52" s="266"/>
      <c r="BJ52" s="269"/>
      <c r="BK52" s="265"/>
      <c r="BL52" s="266"/>
      <c r="BM52" s="269"/>
      <c r="BN52" s="265"/>
      <c r="BO52" s="266"/>
      <c r="BP52" s="453"/>
      <c r="BQ52" s="450"/>
    </row>
    <row r="53" spans="1:69" ht="56.85" hidden="1" customHeight="1" x14ac:dyDescent="0.25">
      <c r="A53" t="s">
        <v>32</v>
      </c>
      <c r="F53" s="449"/>
      <c r="G53" s="452"/>
      <c r="H53" s="267"/>
      <c r="I53" s="268"/>
      <c r="J53" s="269"/>
      <c r="K53" s="267"/>
      <c r="L53" s="268"/>
      <c r="M53" s="269"/>
      <c r="N53" s="267"/>
      <c r="O53" s="268"/>
      <c r="P53" s="453"/>
      <c r="Q53" s="450"/>
      <c r="S53" s="449"/>
      <c r="T53" s="452"/>
      <c r="U53" s="267"/>
      <c r="V53" s="268"/>
      <c r="W53" s="269"/>
      <c r="X53" s="267"/>
      <c r="Y53" s="268"/>
      <c r="Z53" s="269"/>
      <c r="AA53" s="267"/>
      <c r="AB53" s="268"/>
      <c r="AC53" s="453"/>
      <c r="AD53" s="450"/>
      <c r="AF53" s="449"/>
      <c r="AG53" s="452"/>
      <c r="AH53" s="267"/>
      <c r="AI53" s="268"/>
      <c r="AJ53" s="269"/>
      <c r="AK53" s="267"/>
      <c r="AL53" s="268"/>
      <c r="AM53" s="269"/>
      <c r="AN53" s="267"/>
      <c r="AO53" s="268"/>
      <c r="AP53" s="453"/>
      <c r="AQ53" s="450"/>
      <c r="AS53" s="449"/>
      <c r="AT53" s="452"/>
      <c r="AU53" s="267"/>
      <c r="AV53" s="268"/>
      <c r="AW53" s="269"/>
      <c r="AX53" s="267"/>
      <c r="AY53" s="268"/>
      <c r="AZ53" s="269"/>
      <c r="BA53" s="267"/>
      <c r="BB53" s="268"/>
      <c r="BC53" s="453"/>
      <c r="BD53" s="450"/>
      <c r="BF53" s="449"/>
      <c r="BG53" s="452"/>
      <c r="BH53" s="267"/>
      <c r="BI53" s="268"/>
      <c r="BJ53" s="269"/>
      <c r="BK53" s="267"/>
      <c r="BL53" s="268"/>
      <c r="BM53" s="269"/>
      <c r="BN53" s="267"/>
      <c r="BO53" s="268"/>
      <c r="BP53" s="453"/>
      <c r="BQ53" s="450"/>
    </row>
    <row r="54" spans="1:69" hidden="1" x14ac:dyDescent="0.25">
      <c r="A54" t="s">
        <v>33</v>
      </c>
      <c r="F54" s="449"/>
      <c r="G54" s="452"/>
      <c r="H54" s="269"/>
      <c r="I54" s="269"/>
      <c r="J54" s="269"/>
      <c r="K54" s="269"/>
      <c r="L54" s="269"/>
      <c r="M54" s="269"/>
      <c r="N54" s="269"/>
      <c r="O54" s="269"/>
      <c r="P54" s="453"/>
      <c r="Q54" s="450"/>
      <c r="S54" s="449"/>
      <c r="T54" s="452"/>
      <c r="U54" s="269"/>
      <c r="V54" s="269"/>
      <c r="W54" s="269"/>
      <c r="X54" s="269"/>
      <c r="Y54" s="269"/>
      <c r="Z54" s="269"/>
      <c r="AA54" s="269"/>
      <c r="AB54" s="269"/>
      <c r="AC54" s="453"/>
      <c r="AD54" s="450"/>
      <c r="AF54" s="449"/>
      <c r="AG54" s="452"/>
      <c r="AH54" s="269"/>
      <c r="AI54" s="269"/>
      <c r="AJ54" s="269"/>
      <c r="AK54" s="269"/>
      <c r="AL54" s="269"/>
      <c r="AM54" s="269"/>
      <c r="AN54" s="269"/>
      <c r="AO54" s="269"/>
      <c r="AP54" s="453"/>
      <c r="AQ54" s="450"/>
      <c r="AS54" s="449"/>
      <c r="AT54" s="452"/>
      <c r="AU54" s="269"/>
      <c r="AV54" s="269"/>
      <c r="AW54" s="269"/>
      <c r="AX54" s="269"/>
      <c r="AY54" s="269"/>
      <c r="AZ54" s="269"/>
      <c r="BA54" s="269"/>
      <c r="BB54" s="269"/>
      <c r="BC54" s="453"/>
      <c r="BD54" s="450"/>
      <c r="BF54" s="449"/>
      <c r="BG54" s="452"/>
      <c r="BH54" s="269"/>
      <c r="BI54" s="269"/>
      <c r="BJ54" s="269"/>
      <c r="BK54" s="269"/>
      <c r="BL54" s="269"/>
      <c r="BM54" s="269"/>
      <c r="BN54" s="269"/>
      <c r="BO54" s="269"/>
      <c r="BP54" s="453"/>
      <c r="BQ54" s="450"/>
    </row>
    <row r="55" spans="1:69" ht="56.85" hidden="1" customHeight="1" x14ac:dyDescent="0.25">
      <c r="A55" t="s">
        <v>34</v>
      </c>
      <c r="F55" s="449"/>
      <c r="G55" s="452"/>
      <c r="H55" s="265"/>
      <c r="I55" s="266"/>
      <c r="J55" s="269"/>
      <c r="K55" s="265"/>
      <c r="L55" s="266"/>
      <c r="M55" s="269"/>
      <c r="N55" s="265"/>
      <c r="O55" s="266"/>
      <c r="P55" s="453"/>
      <c r="Q55" s="450"/>
      <c r="S55" s="449"/>
      <c r="T55" s="452"/>
      <c r="U55" s="265"/>
      <c r="V55" s="266"/>
      <c r="W55" s="269"/>
      <c r="X55" s="265"/>
      <c r="Y55" s="266"/>
      <c r="Z55" s="269"/>
      <c r="AA55" s="265"/>
      <c r="AB55" s="266"/>
      <c r="AC55" s="453"/>
      <c r="AD55" s="450"/>
      <c r="AF55" s="449"/>
      <c r="AG55" s="452"/>
      <c r="AH55" s="265"/>
      <c r="AI55" s="266"/>
      <c r="AJ55" s="269"/>
      <c r="AK55" s="265"/>
      <c r="AL55" s="266"/>
      <c r="AM55" s="269"/>
      <c r="AN55" s="265"/>
      <c r="AO55" s="266"/>
      <c r="AP55" s="453"/>
      <c r="AQ55" s="450"/>
      <c r="AS55" s="449"/>
      <c r="AT55" s="452"/>
      <c r="AU55" s="265"/>
      <c r="AV55" s="266"/>
      <c r="AW55" s="269"/>
      <c r="AX55" s="265"/>
      <c r="AY55" s="266"/>
      <c r="AZ55" s="269"/>
      <c r="BA55" s="265"/>
      <c r="BB55" s="266"/>
      <c r="BC55" s="453"/>
      <c r="BD55" s="450"/>
      <c r="BF55" s="449"/>
      <c r="BG55" s="452"/>
      <c r="BH55" s="265"/>
      <c r="BI55" s="266"/>
      <c r="BJ55" s="269"/>
      <c r="BK55" s="265"/>
      <c r="BL55" s="266"/>
      <c r="BM55" s="269"/>
      <c r="BN55" s="265"/>
      <c r="BO55" s="266"/>
      <c r="BP55" s="453"/>
      <c r="BQ55" s="450"/>
    </row>
    <row r="56" spans="1:69" ht="56.85" hidden="1" customHeight="1" x14ac:dyDescent="0.25">
      <c r="A56" t="s">
        <v>35</v>
      </c>
      <c r="F56" s="449"/>
      <c r="G56" s="452"/>
      <c r="H56" s="267"/>
      <c r="I56" s="268"/>
      <c r="J56" s="269"/>
      <c r="K56" s="267"/>
      <c r="L56" s="268"/>
      <c r="M56" s="269"/>
      <c r="N56" s="267"/>
      <c r="O56" s="268"/>
      <c r="P56" s="453"/>
      <c r="Q56" s="450"/>
      <c r="S56" s="449"/>
      <c r="T56" s="452"/>
      <c r="U56" s="267"/>
      <c r="V56" s="268"/>
      <c r="W56" s="269"/>
      <c r="X56" s="267"/>
      <c r="Y56" s="268"/>
      <c r="Z56" s="269"/>
      <c r="AA56" s="267"/>
      <c r="AB56" s="268"/>
      <c r="AC56" s="453"/>
      <c r="AD56" s="450"/>
      <c r="AF56" s="449"/>
      <c r="AG56" s="452"/>
      <c r="AH56" s="267"/>
      <c r="AI56" s="268"/>
      <c r="AJ56" s="269"/>
      <c r="AK56" s="267"/>
      <c r="AL56" s="268"/>
      <c r="AM56" s="269"/>
      <c r="AN56" s="267"/>
      <c r="AO56" s="268"/>
      <c r="AP56" s="453"/>
      <c r="AQ56" s="450"/>
      <c r="AS56" s="449"/>
      <c r="AT56" s="452"/>
      <c r="AU56" s="267"/>
      <c r="AV56" s="268"/>
      <c r="AW56" s="269"/>
      <c r="AX56" s="267"/>
      <c r="AY56" s="268"/>
      <c r="AZ56" s="269"/>
      <c r="BA56" s="267"/>
      <c r="BB56" s="268"/>
      <c r="BC56" s="453"/>
      <c r="BD56" s="450"/>
      <c r="BF56" s="449"/>
      <c r="BG56" s="452"/>
      <c r="BH56" s="267"/>
      <c r="BI56" s="268"/>
      <c r="BJ56" s="269"/>
      <c r="BK56" s="267"/>
      <c r="BL56" s="268"/>
      <c r="BM56" s="269"/>
      <c r="BN56" s="267"/>
      <c r="BO56" s="268"/>
      <c r="BP56" s="453"/>
      <c r="BQ56" s="450"/>
    </row>
    <row r="57" spans="1:69" hidden="1" x14ac:dyDescent="0.25">
      <c r="A57" t="s">
        <v>36</v>
      </c>
      <c r="F57" s="449"/>
      <c r="G57" s="263"/>
      <c r="H57" s="451"/>
      <c r="I57" s="451"/>
      <c r="J57" s="451"/>
      <c r="K57" s="451"/>
      <c r="L57" s="451"/>
      <c r="M57" s="451"/>
      <c r="N57" s="451"/>
      <c r="O57" s="451"/>
      <c r="P57" s="263"/>
      <c r="Q57" s="450"/>
      <c r="S57" s="449"/>
      <c r="T57" s="263"/>
      <c r="U57" s="451"/>
      <c r="V57" s="451"/>
      <c r="W57" s="451"/>
      <c r="X57" s="451"/>
      <c r="Y57" s="451"/>
      <c r="Z57" s="451"/>
      <c r="AA57" s="451"/>
      <c r="AB57" s="451"/>
      <c r="AC57" s="263"/>
      <c r="AD57" s="450"/>
      <c r="AF57" s="449"/>
      <c r="AG57" s="263"/>
      <c r="AH57" s="451"/>
      <c r="AI57" s="451"/>
      <c r="AJ57" s="451"/>
      <c r="AK57" s="451"/>
      <c r="AL57" s="451"/>
      <c r="AM57" s="451"/>
      <c r="AN57" s="451"/>
      <c r="AO57" s="451"/>
      <c r="AP57" s="263"/>
      <c r="AQ57" s="450"/>
      <c r="AS57" s="449"/>
      <c r="AT57" s="263"/>
      <c r="AU57" s="451"/>
      <c r="AV57" s="451"/>
      <c r="AW57" s="451"/>
      <c r="AX57" s="451"/>
      <c r="AY57" s="451"/>
      <c r="AZ57" s="451"/>
      <c r="BA57" s="451"/>
      <c r="BB57" s="451"/>
      <c r="BC57" s="263"/>
      <c r="BD57" s="450"/>
      <c r="BF57" s="449"/>
      <c r="BG57" s="263"/>
      <c r="BH57" s="451"/>
      <c r="BI57" s="451"/>
      <c r="BJ57" s="451"/>
      <c r="BK57" s="451"/>
      <c r="BL57" s="451"/>
      <c r="BM57" s="451"/>
      <c r="BN57" s="451"/>
      <c r="BO57" s="451"/>
      <c r="BP57" s="263"/>
      <c r="BQ57" s="450"/>
    </row>
    <row r="58" spans="1:69" hidden="1" x14ac:dyDescent="0.25">
      <c r="A58" t="s">
        <v>37</v>
      </c>
      <c r="G58" s="448" t="s">
        <v>1251</v>
      </c>
      <c r="H58" s="448"/>
      <c r="I58" s="448"/>
      <c r="J58" s="448"/>
      <c r="K58" s="448"/>
      <c r="L58" s="448"/>
      <c r="M58" s="448"/>
      <c r="N58" s="448"/>
      <c r="O58" s="448"/>
      <c r="P58" s="448"/>
      <c r="T58" s="448" t="s">
        <v>1251</v>
      </c>
      <c r="U58" s="448"/>
      <c r="V58" s="448"/>
      <c r="W58" s="448"/>
      <c r="X58" s="448"/>
      <c r="Y58" s="448"/>
      <c r="Z58" s="448"/>
      <c r="AA58" s="448"/>
      <c r="AB58" s="448"/>
      <c r="AC58" s="448"/>
      <c r="AG58" s="448" t="s">
        <v>1251</v>
      </c>
      <c r="AH58" s="448"/>
      <c r="AI58" s="448"/>
      <c r="AJ58" s="448"/>
      <c r="AK58" s="448"/>
      <c r="AL58" s="448"/>
      <c r="AM58" s="448"/>
      <c r="AN58" s="448"/>
      <c r="AO58" s="448"/>
      <c r="AP58" s="448"/>
      <c r="AT58" s="448" t="s">
        <v>1251</v>
      </c>
      <c r="AU58" s="448"/>
      <c r="AV58" s="448"/>
      <c r="AW58" s="448"/>
      <c r="AX58" s="448"/>
      <c r="AY58" s="448"/>
      <c r="AZ58" s="448"/>
      <c r="BA58" s="448"/>
      <c r="BB58" s="448"/>
      <c r="BC58" s="448"/>
      <c r="BG58" s="448" t="s">
        <v>1251</v>
      </c>
      <c r="BH58" s="448"/>
      <c r="BI58" s="448"/>
      <c r="BJ58" s="448"/>
      <c r="BK58" s="448"/>
      <c r="BL58" s="448"/>
      <c r="BM58" s="448"/>
      <c r="BN58" s="448"/>
      <c r="BO58" s="448"/>
      <c r="BP58" s="448"/>
    </row>
    <row r="59" spans="1:69" hidden="1" x14ac:dyDescent="0.25">
      <c r="A59" t="s">
        <v>38</v>
      </c>
    </row>
    <row r="60" spans="1:69" hidden="1" x14ac:dyDescent="0.25">
      <c r="A60" t="s">
        <v>39</v>
      </c>
      <c r="G60" s="448" t="s">
        <v>1251</v>
      </c>
      <c r="H60" s="448"/>
      <c r="I60" s="448"/>
      <c r="J60" s="448"/>
      <c r="K60" s="448"/>
      <c r="L60" s="448"/>
      <c r="M60" s="448"/>
      <c r="N60" s="448"/>
      <c r="O60" s="448"/>
      <c r="P60" s="448"/>
      <c r="T60" s="448" t="s">
        <v>1251</v>
      </c>
      <c r="U60" s="448"/>
      <c r="V60" s="448"/>
      <c r="W60" s="448"/>
      <c r="X60" s="448"/>
      <c r="Y60" s="448"/>
      <c r="Z60" s="448"/>
      <c r="AA60" s="448"/>
      <c r="AB60" s="448"/>
      <c r="AC60" s="448"/>
      <c r="AG60" s="448" t="s">
        <v>1251</v>
      </c>
      <c r="AH60" s="448"/>
      <c r="AI60" s="448"/>
      <c r="AJ60" s="448"/>
      <c r="AK60" s="448"/>
      <c r="AL60" s="448"/>
      <c r="AM60" s="448"/>
      <c r="AN60" s="448"/>
      <c r="AO60" s="448"/>
      <c r="AP60" s="448"/>
      <c r="AT60" s="448" t="s">
        <v>1251</v>
      </c>
      <c r="AU60" s="448"/>
      <c r="AV60" s="448"/>
      <c r="AW60" s="448"/>
      <c r="AX60" s="448"/>
      <c r="AY60" s="448"/>
      <c r="AZ60" s="448"/>
      <c r="BA60" s="448"/>
      <c r="BB60" s="448"/>
      <c r="BC60" s="448"/>
      <c r="BG60" s="448" t="s">
        <v>1251</v>
      </c>
      <c r="BH60" s="448"/>
      <c r="BI60" s="448"/>
      <c r="BJ60" s="448"/>
      <c r="BK60" s="448"/>
      <c r="BL60" s="448"/>
      <c r="BM60" s="448"/>
      <c r="BN60" s="448"/>
      <c r="BO60" s="448"/>
      <c r="BP60" s="448"/>
    </row>
    <row r="61" spans="1:69" hidden="1" x14ac:dyDescent="0.25">
      <c r="A61" t="s">
        <v>40</v>
      </c>
      <c r="F61" s="449" t="s">
        <v>1251</v>
      </c>
      <c r="G61" s="263"/>
      <c r="H61" s="451"/>
      <c r="I61" s="451"/>
      <c r="J61" s="451"/>
      <c r="K61" s="451"/>
      <c r="L61" s="451"/>
      <c r="M61" s="451"/>
      <c r="N61" s="451"/>
      <c r="O61" s="451"/>
      <c r="P61" s="263"/>
      <c r="Q61" s="450" t="s">
        <v>1251</v>
      </c>
      <c r="S61" s="449" t="s">
        <v>1251</v>
      </c>
      <c r="T61" s="263"/>
      <c r="U61" s="451"/>
      <c r="V61" s="451"/>
      <c r="W61" s="451"/>
      <c r="X61" s="451"/>
      <c r="Y61" s="451"/>
      <c r="Z61" s="451"/>
      <c r="AA61" s="451"/>
      <c r="AB61" s="451"/>
      <c r="AC61" s="263"/>
      <c r="AD61" s="450" t="s">
        <v>1251</v>
      </c>
      <c r="AF61" s="449" t="s">
        <v>1251</v>
      </c>
      <c r="AG61" s="263"/>
      <c r="AH61" s="451"/>
      <c r="AI61" s="451"/>
      <c r="AJ61" s="451"/>
      <c r="AK61" s="451"/>
      <c r="AL61" s="451"/>
      <c r="AM61" s="451"/>
      <c r="AN61" s="451"/>
      <c r="AO61" s="451"/>
      <c r="AP61" s="263"/>
      <c r="AQ61" s="450" t="s">
        <v>1251</v>
      </c>
      <c r="AS61" s="449" t="s">
        <v>1251</v>
      </c>
      <c r="AT61" s="263"/>
      <c r="AU61" s="451"/>
      <c r="AV61" s="451"/>
      <c r="AW61" s="451"/>
      <c r="AX61" s="451"/>
      <c r="AY61" s="451"/>
      <c r="AZ61" s="451"/>
      <c r="BA61" s="451"/>
      <c r="BB61" s="451"/>
      <c r="BC61" s="263"/>
      <c r="BD61" s="450" t="s">
        <v>1251</v>
      </c>
      <c r="BF61" s="449" t="s">
        <v>1251</v>
      </c>
      <c r="BG61" s="263"/>
      <c r="BH61" s="451"/>
      <c r="BI61" s="451"/>
      <c r="BJ61" s="451"/>
      <c r="BK61" s="451"/>
      <c r="BL61" s="451"/>
      <c r="BM61" s="451"/>
      <c r="BN61" s="451"/>
      <c r="BO61" s="451"/>
      <c r="BP61" s="263"/>
      <c r="BQ61" s="450" t="s">
        <v>1251</v>
      </c>
    </row>
    <row r="62" spans="1:69" ht="56.85" hidden="1" customHeight="1" x14ac:dyDescent="0.25">
      <c r="A62" t="s">
        <v>41</v>
      </c>
      <c r="F62" s="449"/>
      <c r="G62" s="452"/>
      <c r="H62" s="265"/>
      <c r="I62" s="266"/>
      <c r="J62" s="269"/>
      <c r="K62" s="265"/>
      <c r="L62" s="266"/>
      <c r="M62" s="269"/>
      <c r="N62" s="265"/>
      <c r="O62" s="266"/>
      <c r="P62" s="453"/>
      <c r="Q62" s="450"/>
      <c r="S62" s="449"/>
      <c r="T62" s="452"/>
      <c r="U62" s="265"/>
      <c r="V62" s="266"/>
      <c r="W62" s="269"/>
      <c r="X62" s="265"/>
      <c r="Y62" s="266"/>
      <c r="Z62" s="269"/>
      <c r="AA62" s="265"/>
      <c r="AB62" s="266"/>
      <c r="AC62" s="453"/>
      <c r="AD62" s="450"/>
      <c r="AF62" s="449"/>
      <c r="AG62" s="452"/>
      <c r="AH62" s="265"/>
      <c r="AI62" s="266"/>
      <c r="AJ62" s="269"/>
      <c r="AK62" s="265"/>
      <c r="AL62" s="266"/>
      <c r="AM62" s="269"/>
      <c r="AN62" s="265"/>
      <c r="AO62" s="266"/>
      <c r="AP62" s="453"/>
      <c r="AQ62" s="450"/>
      <c r="AS62" s="449"/>
      <c r="AT62" s="452"/>
      <c r="AU62" s="265"/>
      <c r="AV62" s="266"/>
      <c r="AW62" s="269"/>
      <c r="AX62" s="265"/>
      <c r="AY62" s="266"/>
      <c r="AZ62" s="269"/>
      <c r="BA62" s="265"/>
      <c r="BB62" s="266"/>
      <c r="BC62" s="453"/>
      <c r="BD62" s="450"/>
      <c r="BF62" s="449"/>
      <c r="BG62" s="452"/>
      <c r="BH62" s="265"/>
      <c r="BI62" s="266"/>
      <c r="BJ62" s="269"/>
      <c r="BK62" s="265"/>
      <c r="BL62" s="266"/>
      <c r="BM62" s="269"/>
      <c r="BN62" s="265"/>
      <c r="BO62" s="266"/>
      <c r="BP62" s="453"/>
      <c r="BQ62" s="450"/>
    </row>
    <row r="63" spans="1:69" ht="56.85" hidden="1" customHeight="1" x14ac:dyDescent="0.25">
      <c r="A63" t="s">
        <v>42</v>
      </c>
      <c r="F63" s="449"/>
      <c r="G63" s="452"/>
      <c r="H63" s="267"/>
      <c r="I63" s="268"/>
      <c r="J63" s="269"/>
      <c r="K63" s="267"/>
      <c r="L63" s="268"/>
      <c r="M63" s="269"/>
      <c r="N63" s="267"/>
      <c r="O63" s="268"/>
      <c r="P63" s="453"/>
      <c r="Q63" s="450"/>
      <c r="S63" s="449"/>
      <c r="T63" s="452"/>
      <c r="U63" s="267"/>
      <c r="V63" s="268"/>
      <c r="W63" s="269"/>
      <c r="X63" s="267"/>
      <c r="Y63" s="268"/>
      <c r="Z63" s="269"/>
      <c r="AA63" s="267"/>
      <c r="AB63" s="268"/>
      <c r="AC63" s="453"/>
      <c r="AD63" s="450"/>
      <c r="AF63" s="449"/>
      <c r="AG63" s="452"/>
      <c r="AH63" s="267"/>
      <c r="AI63" s="268"/>
      <c r="AJ63" s="269"/>
      <c r="AK63" s="267"/>
      <c r="AL63" s="268"/>
      <c r="AM63" s="269"/>
      <c r="AN63" s="267"/>
      <c r="AO63" s="268"/>
      <c r="AP63" s="453"/>
      <c r="AQ63" s="450"/>
      <c r="AS63" s="449"/>
      <c r="AT63" s="452"/>
      <c r="AU63" s="267"/>
      <c r="AV63" s="268"/>
      <c r="AW63" s="269"/>
      <c r="AX63" s="267"/>
      <c r="AY63" s="268"/>
      <c r="AZ63" s="269"/>
      <c r="BA63" s="267"/>
      <c r="BB63" s="268"/>
      <c r="BC63" s="453"/>
      <c r="BD63" s="450"/>
      <c r="BF63" s="449"/>
      <c r="BG63" s="452"/>
      <c r="BH63" s="267"/>
      <c r="BI63" s="268"/>
      <c r="BJ63" s="269"/>
      <c r="BK63" s="267"/>
      <c r="BL63" s="268"/>
      <c r="BM63" s="269"/>
      <c r="BN63" s="267"/>
      <c r="BO63" s="268"/>
      <c r="BP63" s="453"/>
      <c r="BQ63" s="450"/>
    </row>
    <row r="64" spans="1:69" hidden="1" x14ac:dyDescent="0.25">
      <c r="A64" t="s">
        <v>377</v>
      </c>
      <c r="F64" s="449"/>
      <c r="G64" s="452"/>
      <c r="H64" s="269"/>
      <c r="I64" s="269"/>
      <c r="J64" s="269"/>
      <c r="K64" s="269"/>
      <c r="L64" s="269"/>
      <c r="M64" s="269"/>
      <c r="N64" s="269"/>
      <c r="O64" s="269"/>
      <c r="P64" s="453"/>
      <c r="Q64" s="450"/>
      <c r="S64" s="449"/>
      <c r="T64" s="452"/>
      <c r="U64" s="269"/>
      <c r="V64" s="269"/>
      <c r="W64" s="269"/>
      <c r="X64" s="269"/>
      <c r="Y64" s="269"/>
      <c r="Z64" s="269"/>
      <c r="AA64" s="269"/>
      <c r="AB64" s="269"/>
      <c r="AC64" s="453"/>
      <c r="AD64" s="450"/>
      <c r="AF64" s="449"/>
      <c r="AG64" s="452"/>
      <c r="AH64" s="269"/>
      <c r="AI64" s="269"/>
      <c r="AJ64" s="269"/>
      <c r="AK64" s="269"/>
      <c r="AL64" s="269"/>
      <c r="AM64" s="269"/>
      <c r="AN64" s="269"/>
      <c r="AO64" s="269"/>
      <c r="AP64" s="453"/>
      <c r="AQ64" s="450"/>
      <c r="AS64" s="449"/>
      <c r="AT64" s="452"/>
      <c r="AU64" s="269"/>
      <c r="AV64" s="269"/>
      <c r="AW64" s="269"/>
      <c r="AX64" s="269"/>
      <c r="AY64" s="269"/>
      <c r="AZ64" s="269"/>
      <c r="BA64" s="269"/>
      <c r="BB64" s="269"/>
      <c r="BC64" s="453"/>
      <c r="BD64" s="450"/>
      <c r="BF64" s="449"/>
      <c r="BG64" s="452"/>
      <c r="BH64" s="269"/>
      <c r="BI64" s="269"/>
      <c r="BJ64" s="269"/>
      <c r="BK64" s="269"/>
      <c r="BL64" s="269"/>
      <c r="BM64" s="269"/>
      <c r="BN64" s="269"/>
      <c r="BO64" s="269"/>
      <c r="BP64" s="453"/>
      <c r="BQ64" s="450"/>
    </row>
    <row r="65" spans="1:69" ht="56.85" hidden="1" customHeight="1" x14ac:dyDescent="0.25">
      <c r="A65" t="s">
        <v>378</v>
      </c>
      <c r="F65" s="449"/>
      <c r="G65" s="452"/>
      <c r="H65" s="265"/>
      <c r="I65" s="266"/>
      <c r="J65" s="269"/>
      <c r="K65" s="265"/>
      <c r="L65" s="266"/>
      <c r="M65" s="269"/>
      <c r="N65" s="265"/>
      <c r="O65" s="266"/>
      <c r="P65" s="453"/>
      <c r="Q65" s="450"/>
      <c r="S65" s="449"/>
      <c r="T65" s="452"/>
      <c r="U65" s="265"/>
      <c r="V65" s="266"/>
      <c r="W65" s="269"/>
      <c r="X65" s="265"/>
      <c r="Y65" s="266"/>
      <c r="Z65" s="269"/>
      <c r="AA65" s="265"/>
      <c r="AB65" s="266"/>
      <c r="AC65" s="453"/>
      <c r="AD65" s="450"/>
      <c r="AF65" s="449"/>
      <c r="AG65" s="452"/>
      <c r="AH65" s="265"/>
      <c r="AI65" s="266"/>
      <c r="AJ65" s="269"/>
      <c r="AK65" s="265"/>
      <c r="AL65" s="266"/>
      <c r="AM65" s="269"/>
      <c r="AN65" s="265"/>
      <c r="AO65" s="266"/>
      <c r="AP65" s="453"/>
      <c r="AQ65" s="450"/>
      <c r="AS65" s="449"/>
      <c r="AT65" s="452"/>
      <c r="AU65" s="265"/>
      <c r="AV65" s="266"/>
      <c r="AW65" s="269"/>
      <c r="AX65" s="265"/>
      <c r="AY65" s="266"/>
      <c r="AZ65" s="269"/>
      <c r="BA65" s="265"/>
      <c r="BB65" s="266"/>
      <c r="BC65" s="453"/>
      <c r="BD65" s="450"/>
      <c r="BF65" s="449"/>
      <c r="BG65" s="452"/>
      <c r="BH65" s="265"/>
      <c r="BI65" s="266"/>
      <c r="BJ65" s="269"/>
      <c r="BK65" s="265"/>
      <c r="BL65" s="266"/>
      <c r="BM65" s="269"/>
      <c r="BN65" s="265"/>
      <c r="BO65" s="266"/>
      <c r="BP65" s="453"/>
      <c r="BQ65" s="450"/>
    </row>
    <row r="66" spans="1:69" ht="56.85" hidden="1" customHeight="1" x14ac:dyDescent="0.25">
      <c r="A66" s="5"/>
      <c r="F66" s="449"/>
      <c r="G66" s="452"/>
      <c r="H66" s="267"/>
      <c r="I66" s="268"/>
      <c r="J66" s="269"/>
      <c r="K66" s="267"/>
      <c r="L66" s="268"/>
      <c r="M66" s="269"/>
      <c r="N66" s="267"/>
      <c r="O66" s="268"/>
      <c r="P66" s="453"/>
      <c r="Q66" s="450"/>
      <c r="S66" s="449"/>
      <c r="T66" s="452"/>
      <c r="U66" s="267"/>
      <c r="V66" s="268"/>
      <c r="W66" s="269"/>
      <c r="X66" s="267"/>
      <c r="Y66" s="268"/>
      <c r="Z66" s="269"/>
      <c r="AA66" s="267"/>
      <c r="AB66" s="268"/>
      <c r="AC66" s="453"/>
      <c r="AD66" s="450"/>
      <c r="AF66" s="449"/>
      <c r="AG66" s="452"/>
      <c r="AH66" s="267"/>
      <c r="AI66" s="268"/>
      <c r="AJ66" s="269"/>
      <c r="AK66" s="267"/>
      <c r="AL66" s="268"/>
      <c r="AM66" s="269"/>
      <c r="AN66" s="267"/>
      <c r="AO66" s="268"/>
      <c r="AP66" s="453"/>
      <c r="AQ66" s="450"/>
      <c r="AS66" s="449"/>
      <c r="AT66" s="452"/>
      <c r="AU66" s="267"/>
      <c r="AV66" s="268"/>
      <c r="AW66" s="269"/>
      <c r="AX66" s="267"/>
      <c r="AY66" s="268"/>
      <c r="AZ66" s="269"/>
      <c r="BA66" s="267"/>
      <c r="BB66" s="268"/>
      <c r="BC66" s="453"/>
      <c r="BD66" s="450"/>
      <c r="BF66" s="449"/>
      <c r="BG66" s="452"/>
      <c r="BH66" s="267"/>
      <c r="BI66" s="268"/>
      <c r="BJ66" s="269"/>
      <c r="BK66" s="267"/>
      <c r="BL66" s="268"/>
      <c r="BM66" s="269"/>
      <c r="BN66" s="267"/>
      <c r="BO66" s="268"/>
      <c r="BP66" s="453"/>
      <c r="BQ66" s="450"/>
    </row>
    <row r="67" spans="1:69" hidden="1" x14ac:dyDescent="0.25">
      <c r="A67" s="5"/>
      <c r="F67" s="449"/>
      <c r="G67" s="452"/>
      <c r="H67" s="269"/>
      <c r="I67" s="269"/>
      <c r="J67" s="269"/>
      <c r="K67" s="269"/>
      <c r="L67" s="269"/>
      <c r="M67" s="269"/>
      <c r="N67" s="269"/>
      <c r="O67" s="269"/>
      <c r="P67" s="453"/>
      <c r="Q67" s="450"/>
      <c r="S67" s="449"/>
      <c r="T67" s="452"/>
      <c r="U67" s="269"/>
      <c r="V67" s="269"/>
      <c r="W67" s="269"/>
      <c r="X67" s="269"/>
      <c r="Y67" s="269"/>
      <c r="Z67" s="269"/>
      <c r="AA67" s="269"/>
      <c r="AB67" s="269"/>
      <c r="AC67" s="453"/>
      <c r="AD67" s="450"/>
      <c r="AF67" s="449"/>
      <c r="AG67" s="452"/>
      <c r="AH67" s="269"/>
      <c r="AI67" s="269"/>
      <c r="AJ67" s="269"/>
      <c r="AK67" s="269"/>
      <c r="AL67" s="269"/>
      <c r="AM67" s="269"/>
      <c r="AN67" s="269"/>
      <c r="AO67" s="269"/>
      <c r="AP67" s="453"/>
      <c r="AQ67" s="450"/>
      <c r="AS67" s="449"/>
      <c r="AT67" s="452"/>
      <c r="AU67" s="269"/>
      <c r="AV67" s="269"/>
      <c r="AW67" s="269"/>
      <c r="AX67" s="269"/>
      <c r="AY67" s="269"/>
      <c r="AZ67" s="269"/>
      <c r="BA67" s="269"/>
      <c r="BB67" s="269"/>
      <c r="BC67" s="453"/>
      <c r="BD67" s="450"/>
      <c r="BF67" s="449"/>
      <c r="BG67" s="452"/>
      <c r="BH67" s="269"/>
      <c r="BI67" s="269"/>
      <c r="BJ67" s="269"/>
      <c r="BK67" s="269"/>
      <c r="BL67" s="269"/>
      <c r="BM67" s="269"/>
      <c r="BN67" s="269"/>
      <c r="BO67" s="269"/>
      <c r="BP67" s="453"/>
      <c r="BQ67" s="450"/>
    </row>
    <row r="68" spans="1:69" ht="56.85" hidden="1" customHeight="1" x14ac:dyDescent="0.25">
      <c r="A68" s="5"/>
      <c r="F68" s="449"/>
      <c r="G68" s="452"/>
      <c r="H68" s="265"/>
      <c r="I68" s="266"/>
      <c r="J68" s="269"/>
      <c r="K68" s="265"/>
      <c r="L68" s="266"/>
      <c r="M68" s="269"/>
      <c r="N68" s="265"/>
      <c r="O68" s="266"/>
      <c r="P68" s="453"/>
      <c r="Q68" s="450"/>
      <c r="S68" s="449"/>
      <c r="T68" s="452"/>
      <c r="U68" s="265"/>
      <c r="V68" s="266"/>
      <c r="W68" s="269"/>
      <c r="X68" s="265"/>
      <c r="Y68" s="266"/>
      <c r="Z68" s="269"/>
      <c r="AA68" s="265"/>
      <c r="AB68" s="266"/>
      <c r="AC68" s="453"/>
      <c r="AD68" s="450"/>
      <c r="AF68" s="449"/>
      <c r="AG68" s="452"/>
      <c r="AH68" s="265"/>
      <c r="AI68" s="266"/>
      <c r="AJ68" s="269"/>
      <c r="AK68" s="265"/>
      <c r="AL68" s="266"/>
      <c r="AM68" s="269"/>
      <c r="AN68" s="265"/>
      <c r="AO68" s="266"/>
      <c r="AP68" s="453"/>
      <c r="AQ68" s="450"/>
      <c r="AS68" s="449"/>
      <c r="AT68" s="452"/>
      <c r="AU68" s="265"/>
      <c r="AV68" s="266"/>
      <c r="AW68" s="269"/>
      <c r="AX68" s="265"/>
      <c r="AY68" s="266"/>
      <c r="AZ68" s="269"/>
      <c r="BA68" s="265"/>
      <c r="BB68" s="266"/>
      <c r="BC68" s="453"/>
      <c r="BD68" s="450"/>
      <c r="BF68" s="449"/>
      <c r="BG68" s="452"/>
      <c r="BH68" s="265"/>
      <c r="BI68" s="266"/>
      <c r="BJ68" s="269"/>
      <c r="BK68" s="265"/>
      <c r="BL68" s="266"/>
      <c r="BM68" s="269"/>
      <c r="BN68" s="265"/>
      <c r="BO68" s="266"/>
      <c r="BP68" s="453"/>
      <c r="BQ68" s="450"/>
    </row>
    <row r="69" spans="1:69" ht="56.85" hidden="1" customHeight="1" x14ac:dyDescent="0.25">
      <c r="A69" s="5"/>
      <c r="F69" s="449"/>
      <c r="G69" s="452"/>
      <c r="H69" s="267"/>
      <c r="I69" s="268"/>
      <c r="J69" s="269"/>
      <c r="K69" s="267"/>
      <c r="L69" s="268"/>
      <c r="M69" s="269"/>
      <c r="N69" s="267"/>
      <c r="O69" s="268"/>
      <c r="P69" s="453"/>
      <c r="Q69" s="450"/>
      <c r="S69" s="449"/>
      <c r="T69" s="452"/>
      <c r="U69" s="267"/>
      <c r="V69" s="268"/>
      <c r="W69" s="269"/>
      <c r="X69" s="267"/>
      <c r="Y69" s="268"/>
      <c r="Z69" s="269"/>
      <c r="AA69" s="267"/>
      <c r="AB69" s="268"/>
      <c r="AC69" s="453"/>
      <c r="AD69" s="450"/>
      <c r="AF69" s="449"/>
      <c r="AG69" s="452"/>
      <c r="AH69" s="267"/>
      <c r="AI69" s="268"/>
      <c r="AJ69" s="269"/>
      <c r="AK69" s="267"/>
      <c r="AL69" s="268"/>
      <c r="AM69" s="269"/>
      <c r="AN69" s="267"/>
      <c r="AO69" s="268"/>
      <c r="AP69" s="453"/>
      <c r="AQ69" s="450"/>
      <c r="AS69" s="449"/>
      <c r="AT69" s="452"/>
      <c r="AU69" s="267"/>
      <c r="AV69" s="268"/>
      <c r="AW69" s="269"/>
      <c r="AX69" s="267"/>
      <c r="AY69" s="268"/>
      <c r="AZ69" s="269"/>
      <c r="BA69" s="267"/>
      <c r="BB69" s="268"/>
      <c r="BC69" s="453"/>
      <c r="BD69" s="450"/>
      <c r="BF69" s="449"/>
      <c r="BG69" s="452"/>
      <c r="BH69" s="267"/>
      <c r="BI69" s="268"/>
      <c r="BJ69" s="269"/>
      <c r="BK69" s="267"/>
      <c r="BL69" s="268"/>
      <c r="BM69" s="269"/>
      <c r="BN69" s="267"/>
      <c r="BO69" s="268"/>
      <c r="BP69" s="453"/>
      <c r="BQ69" s="450"/>
    </row>
    <row r="70" spans="1:69" hidden="1" x14ac:dyDescent="0.25">
      <c r="A70" s="5"/>
      <c r="F70" s="449"/>
      <c r="G70" s="263"/>
      <c r="H70" s="451"/>
      <c r="I70" s="451"/>
      <c r="J70" s="451"/>
      <c r="K70" s="451"/>
      <c r="L70" s="451"/>
      <c r="M70" s="451"/>
      <c r="N70" s="451"/>
      <c r="O70" s="451"/>
      <c r="P70" s="263"/>
      <c r="Q70" s="450"/>
      <c r="S70" s="449"/>
      <c r="T70" s="263"/>
      <c r="U70" s="451"/>
      <c r="V70" s="451"/>
      <c r="W70" s="451"/>
      <c r="X70" s="451"/>
      <c r="Y70" s="451"/>
      <c r="Z70" s="451"/>
      <c r="AA70" s="451"/>
      <c r="AB70" s="451"/>
      <c r="AC70" s="263"/>
      <c r="AD70" s="450"/>
      <c r="AF70" s="449"/>
      <c r="AG70" s="263"/>
      <c r="AH70" s="451"/>
      <c r="AI70" s="451"/>
      <c r="AJ70" s="451"/>
      <c r="AK70" s="451"/>
      <c r="AL70" s="451"/>
      <c r="AM70" s="451"/>
      <c r="AN70" s="451"/>
      <c r="AO70" s="451"/>
      <c r="AP70" s="263"/>
      <c r="AQ70" s="450"/>
      <c r="AS70" s="449"/>
      <c r="AT70" s="263"/>
      <c r="AU70" s="451"/>
      <c r="AV70" s="451"/>
      <c r="AW70" s="451"/>
      <c r="AX70" s="451"/>
      <c r="AY70" s="451"/>
      <c r="AZ70" s="451"/>
      <c r="BA70" s="451"/>
      <c r="BB70" s="451"/>
      <c r="BC70" s="263"/>
      <c r="BD70" s="450"/>
      <c r="BF70" s="449"/>
      <c r="BG70" s="263"/>
      <c r="BH70" s="451"/>
      <c r="BI70" s="451"/>
      <c r="BJ70" s="451"/>
      <c r="BK70" s="451"/>
      <c r="BL70" s="451"/>
      <c r="BM70" s="451"/>
      <c r="BN70" s="451"/>
      <c r="BO70" s="451"/>
      <c r="BP70" s="263"/>
      <c r="BQ70" s="450"/>
    </row>
    <row r="71" spans="1:69" hidden="1" x14ac:dyDescent="0.25">
      <c r="A71" s="5"/>
      <c r="G71" s="448" t="s">
        <v>1251</v>
      </c>
      <c r="H71" s="448"/>
      <c r="I71" s="448"/>
      <c r="J71" s="448"/>
      <c r="K71" s="448"/>
      <c r="L71" s="448"/>
      <c r="M71" s="448"/>
      <c r="N71" s="448"/>
      <c r="O71" s="448"/>
      <c r="P71" s="448"/>
      <c r="T71" s="448" t="s">
        <v>1251</v>
      </c>
      <c r="U71" s="448"/>
      <c r="V71" s="448"/>
      <c r="W71" s="448"/>
      <c r="X71" s="448"/>
      <c r="Y71" s="448"/>
      <c r="Z71" s="448"/>
      <c r="AA71" s="448"/>
      <c r="AB71" s="448"/>
      <c r="AC71" s="448"/>
      <c r="AG71" s="448" t="s">
        <v>1251</v>
      </c>
      <c r="AH71" s="448"/>
      <c r="AI71" s="448"/>
      <c r="AJ71" s="448"/>
      <c r="AK71" s="448"/>
      <c r="AL71" s="448"/>
      <c r="AM71" s="448"/>
      <c r="AN71" s="448"/>
      <c r="AO71" s="448"/>
      <c r="AP71" s="448"/>
      <c r="AT71" s="448" t="s">
        <v>1251</v>
      </c>
      <c r="AU71" s="448"/>
      <c r="AV71" s="448"/>
      <c r="AW71" s="448"/>
      <c r="AX71" s="448"/>
      <c r="AY71" s="448"/>
      <c r="AZ71" s="448"/>
      <c r="BA71" s="448"/>
      <c r="BB71" s="448"/>
      <c r="BC71" s="448"/>
      <c r="BG71" s="448" t="s">
        <v>1251</v>
      </c>
      <c r="BH71" s="448"/>
      <c r="BI71" s="448"/>
      <c r="BJ71" s="448"/>
      <c r="BK71" s="448"/>
      <c r="BL71" s="448"/>
      <c r="BM71" s="448"/>
      <c r="BN71" s="448"/>
      <c r="BO71" s="448"/>
      <c r="BP71" s="448"/>
    </row>
  </sheetData>
  <sheetProtection sheet="1" objects="1" scenarios="1" selectLockedCells="1"/>
  <mergeCells count="200">
    <mergeCell ref="G8:P8"/>
    <mergeCell ref="T8:AC8"/>
    <mergeCell ref="AG8:AP8"/>
    <mergeCell ref="AT8:BC8"/>
    <mergeCell ref="BG8:BP8"/>
    <mergeCell ref="F9:F18"/>
    <mergeCell ref="H9:O9"/>
    <mergeCell ref="Q9:Q18"/>
    <mergeCell ref="S9:S18"/>
    <mergeCell ref="U9:AB9"/>
    <mergeCell ref="BQ9:BQ18"/>
    <mergeCell ref="G10:G17"/>
    <mergeCell ref="P10:P17"/>
    <mergeCell ref="T10:T17"/>
    <mergeCell ref="AC10:AC17"/>
    <mergeCell ref="AG10:AG17"/>
    <mergeCell ref="AP10:AP17"/>
    <mergeCell ref="AD9:AD18"/>
    <mergeCell ref="AF9:AF18"/>
    <mergeCell ref="AH9:AO9"/>
    <mergeCell ref="AQ9:AQ18"/>
    <mergeCell ref="AS9:AS18"/>
    <mergeCell ref="AU9:BB9"/>
    <mergeCell ref="AT10:AT17"/>
    <mergeCell ref="AT19:BC19"/>
    <mergeCell ref="BG19:BP19"/>
    <mergeCell ref="G21:P21"/>
    <mergeCell ref="T21:AC21"/>
    <mergeCell ref="AG21:AP21"/>
    <mergeCell ref="AT21:BC21"/>
    <mergeCell ref="BG21:BP21"/>
    <mergeCell ref="BC10:BC17"/>
    <mergeCell ref="BG10:BG17"/>
    <mergeCell ref="BP10:BP17"/>
    <mergeCell ref="H18:O18"/>
    <mergeCell ref="U18:AB18"/>
    <mergeCell ref="AH18:AO18"/>
    <mergeCell ref="AU18:BB18"/>
    <mergeCell ref="BH18:BO18"/>
    <mergeCell ref="BD9:BD18"/>
    <mergeCell ref="BF9:BF18"/>
    <mergeCell ref="BH9:BO9"/>
    <mergeCell ref="F22:F31"/>
    <mergeCell ref="H22:O22"/>
    <mergeCell ref="Q22:Q31"/>
    <mergeCell ref="S22:S31"/>
    <mergeCell ref="U22:AB22"/>
    <mergeCell ref="AD22:AD31"/>
    <mergeCell ref="G19:P19"/>
    <mergeCell ref="T19:AC19"/>
    <mergeCell ref="AG19:AP19"/>
    <mergeCell ref="BQ22:BQ31"/>
    <mergeCell ref="G23:G30"/>
    <mergeCell ref="P23:P30"/>
    <mergeCell ref="T23:T30"/>
    <mergeCell ref="AC23:AC30"/>
    <mergeCell ref="AG23:AG30"/>
    <mergeCell ref="AP23:AP30"/>
    <mergeCell ref="AT23:AT30"/>
    <mergeCell ref="AF22:AF31"/>
    <mergeCell ref="AH22:AO22"/>
    <mergeCell ref="AQ22:AQ31"/>
    <mergeCell ref="AS22:AS31"/>
    <mergeCell ref="AU22:BB22"/>
    <mergeCell ref="BD22:BD31"/>
    <mergeCell ref="BC23:BC30"/>
    <mergeCell ref="AT32:BC32"/>
    <mergeCell ref="BG32:BP32"/>
    <mergeCell ref="G34:P34"/>
    <mergeCell ref="T34:AC34"/>
    <mergeCell ref="AG34:AP34"/>
    <mergeCell ref="AT34:BC34"/>
    <mergeCell ref="BG34:BP34"/>
    <mergeCell ref="BG23:BG30"/>
    <mergeCell ref="BP23:BP30"/>
    <mergeCell ref="H31:O31"/>
    <mergeCell ref="U31:AB31"/>
    <mergeCell ref="AH31:AO31"/>
    <mergeCell ref="AU31:BB31"/>
    <mergeCell ref="BH31:BO31"/>
    <mergeCell ref="BF22:BF31"/>
    <mergeCell ref="BH22:BO22"/>
    <mergeCell ref="F35:F44"/>
    <mergeCell ref="H35:O35"/>
    <mergeCell ref="Q35:Q44"/>
    <mergeCell ref="S35:S44"/>
    <mergeCell ref="U35:AB35"/>
    <mergeCell ref="AD35:AD44"/>
    <mergeCell ref="G32:P32"/>
    <mergeCell ref="T32:AC32"/>
    <mergeCell ref="AG32:AP32"/>
    <mergeCell ref="BQ35:BQ44"/>
    <mergeCell ref="G36:G43"/>
    <mergeCell ref="P36:P43"/>
    <mergeCell ref="T36:T43"/>
    <mergeCell ref="AC36:AC43"/>
    <mergeCell ref="AG36:AG43"/>
    <mergeCell ref="AP36:AP43"/>
    <mergeCell ref="AT36:AT43"/>
    <mergeCell ref="AF35:AF44"/>
    <mergeCell ref="AH35:AO35"/>
    <mergeCell ref="AQ35:AQ44"/>
    <mergeCell ref="AS35:AS44"/>
    <mergeCell ref="AU35:BB35"/>
    <mergeCell ref="BD35:BD44"/>
    <mergeCell ref="BC36:BC43"/>
    <mergeCell ref="AT45:BC45"/>
    <mergeCell ref="BG45:BP45"/>
    <mergeCell ref="G47:P47"/>
    <mergeCell ref="T47:AC47"/>
    <mergeCell ref="AG47:AP47"/>
    <mergeCell ref="AT47:BC47"/>
    <mergeCell ref="BG47:BP47"/>
    <mergeCell ref="BG36:BG43"/>
    <mergeCell ref="BP36:BP43"/>
    <mergeCell ref="H44:O44"/>
    <mergeCell ref="U44:AB44"/>
    <mergeCell ref="AH44:AO44"/>
    <mergeCell ref="AU44:BB44"/>
    <mergeCell ref="BH44:BO44"/>
    <mergeCell ref="BF35:BF44"/>
    <mergeCell ref="BH35:BO35"/>
    <mergeCell ref="F48:F57"/>
    <mergeCell ref="H48:O48"/>
    <mergeCell ref="Q48:Q57"/>
    <mergeCell ref="S48:S57"/>
    <mergeCell ref="U48:AB48"/>
    <mergeCell ref="AD48:AD57"/>
    <mergeCell ref="G45:P45"/>
    <mergeCell ref="T45:AC45"/>
    <mergeCell ref="AG45:AP45"/>
    <mergeCell ref="BQ48:BQ57"/>
    <mergeCell ref="G49:G56"/>
    <mergeCell ref="P49:P56"/>
    <mergeCell ref="T49:T56"/>
    <mergeCell ref="AC49:AC56"/>
    <mergeCell ref="AG49:AG56"/>
    <mergeCell ref="AP49:AP56"/>
    <mergeCell ref="AT49:AT56"/>
    <mergeCell ref="AF48:AF57"/>
    <mergeCell ref="AH48:AO48"/>
    <mergeCell ref="AQ48:AQ57"/>
    <mergeCell ref="AS48:AS57"/>
    <mergeCell ref="AU48:BB48"/>
    <mergeCell ref="BD48:BD57"/>
    <mergeCell ref="BC49:BC56"/>
    <mergeCell ref="AT58:BC58"/>
    <mergeCell ref="BG58:BP58"/>
    <mergeCell ref="G60:P60"/>
    <mergeCell ref="T60:AC60"/>
    <mergeCell ref="AG60:AP60"/>
    <mergeCell ref="AT60:BC60"/>
    <mergeCell ref="BG60:BP60"/>
    <mergeCell ref="BG49:BG56"/>
    <mergeCell ref="BP49:BP56"/>
    <mergeCell ref="H57:O57"/>
    <mergeCell ref="U57:AB57"/>
    <mergeCell ref="AH57:AO57"/>
    <mergeCell ref="AU57:BB57"/>
    <mergeCell ref="BH57:BO57"/>
    <mergeCell ref="BF48:BF57"/>
    <mergeCell ref="BH48:BO48"/>
    <mergeCell ref="F61:F70"/>
    <mergeCell ref="H61:O61"/>
    <mergeCell ref="Q61:Q70"/>
    <mergeCell ref="S61:S70"/>
    <mergeCell ref="U61:AB61"/>
    <mergeCell ref="AD61:AD70"/>
    <mergeCell ref="G58:P58"/>
    <mergeCell ref="T58:AC58"/>
    <mergeCell ref="AG58:AP58"/>
    <mergeCell ref="BQ61:BQ70"/>
    <mergeCell ref="G62:G69"/>
    <mergeCell ref="P62:P69"/>
    <mergeCell ref="T62:T69"/>
    <mergeCell ref="AC62:AC69"/>
    <mergeCell ref="AG62:AG69"/>
    <mergeCell ref="AP62:AP69"/>
    <mergeCell ref="AT62:AT69"/>
    <mergeCell ref="AF61:AF70"/>
    <mergeCell ref="AH61:AO61"/>
    <mergeCell ref="AQ61:AQ70"/>
    <mergeCell ref="AS61:AS70"/>
    <mergeCell ref="AU61:BB61"/>
    <mergeCell ref="BD61:BD70"/>
    <mergeCell ref="BC62:BC69"/>
    <mergeCell ref="G71:P71"/>
    <mergeCell ref="T71:AC71"/>
    <mergeCell ref="AG71:AP71"/>
    <mergeCell ref="AT71:BC71"/>
    <mergeCell ref="BG71:BP71"/>
    <mergeCell ref="BG62:BG69"/>
    <mergeCell ref="BP62:BP69"/>
    <mergeCell ref="H70:O70"/>
    <mergeCell ref="U70:AB70"/>
    <mergeCell ref="AH70:AO70"/>
    <mergeCell ref="AU70:BB70"/>
    <mergeCell ref="BH70:BO70"/>
    <mergeCell ref="BF61:BF70"/>
    <mergeCell ref="BH61:BO61"/>
  </mergeCells>
  <conditionalFormatting sqref="H9:O9">
    <cfRule type="expression" dxfId="2774" priority="925">
      <formula>H9="City Wall"</formula>
    </cfRule>
  </conditionalFormatting>
  <conditionalFormatting sqref="H18:O18">
    <cfRule type="expression" dxfId="2773" priority="924">
      <formula>H18="City Wall"</formula>
    </cfRule>
  </conditionalFormatting>
  <conditionalFormatting sqref="G10:G17">
    <cfRule type="expression" dxfId="2772" priority="923">
      <formula>G10="City Wall"</formula>
    </cfRule>
  </conditionalFormatting>
  <conditionalFormatting sqref="P10:P17">
    <cfRule type="expression" dxfId="2771" priority="922">
      <formula>P10="City Wall"</formula>
    </cfRule>
  </conditionalFormatting>
  <conditionalFormatting sqref="G9">
    <cfRule type="expression" dxfId="2770" priority="920">
      <formula>G10="City Wall"</formula>
    </cfRule>
    <cfRule type="expression" dxfId="2769" priority="921">
      <formula>H9="City Wall"</formula>
    </cfRule>
  </conditionalFormatting>
  <conditionalFormatting sqref="P9">
    <cfRule type="expression" dxfId="2768" priority="918">
      <formula>P10="City Wall"</formula>
    </cfRule>
    <cfRule type="expression" dxfId="2767" priority="919">
      <formula>H9="City Wall"</formula>
    </cfRule>
  </conditionalFormatting>
  <conditionalFormatting sqref="P18">
    <cfRule type="expression" dxfId="2766" priority="916">
      <formula>H18="City Wall"</formula>
    </cfRule>
    <cfRule type="expression" dxfId="2765" priority="917">
      <formula>P10="City Wall"</formula>
    </cfRule>
  </conditionalFormatting>
  <conditionalFormatting sqref="G18">
    <cfRule type="expression" dxfId="2764" priority="914">
      <formula>G10="City Wall"</formula>
    </cfRule>
    <cfRule type="expression" dxfId="2763" priority="915">
      <formula>H18="City Wall"</formula>
    </cfRule>
  </conditionalFormatting>
  <conditionalFormatting sqref="G19:P19">
    <cfRule type="expression" dxfId="2762" priority="912">
      <formula>G19="Land"</formula>
    </cfRule>
    <cfRule type="expression" dxfId="2761" priority="913">
      <formula>G19="Water"</formula>
    </cfRule>
  </conditionalFormatting>
  <conditionalFormatting sqref="Q19">
    <cfRule type="expression" dxfId="2760" priority="908" stopIfTrue="1">
      <formula>Q9="Water"</formula>
    </cfRule>
    <cfRule type="expression" dxfId="2759" priority="909" stopIfTrue="1">
      <formula>G19="Water"</formula>
    </cfRule>
    <cfRule type="expression" dxfId="2758" priority="910" stopIfTrue="1">
      <formula>G19="Land"</formula>
    </cfRule>
    <cfRule type="expression" dxfId="2757" priority="911" stopIfTrue="1">
      <formula>Q9="Land"</formula>
    </cfRule>
  </conditionalFormatting>
  <conditionalFormatting sqref="G8:P8">
    <cfRule type="expression" dxfId="2756" priority="906" stopIfTrue="1">
      <formula>G8="Water"</formula>
    </cfRule>
    <cfRule type="expression" dxfId="2755" priority="907" stopIfTrue="1">
      <formula>G8="Land"</formula>
    </cfRule>
  </conditionalFormatting>
  <conditionalFormatting sqref="F19">
    <cfRule type="expression" dxfId="2754" priority="902" stopIfTrue="1">
      <formula>F9="Water"</formula>
    </cfRule>
    <cfRule type="expression" dxfId="2753" priority="903" stopIfTrue="1">
      <formula>G19="Water"</formula>
    </cfRule>
    <cfRule type="expression" dxfId="2752" priority="904" stopIfTrue="1">
      <formula>G19="Land"</formula>
    </cfRule>
    <cfRule type="expression" dxfId="2751" priority="905" stopIfTrue="1">
      <formula>F9="Land"</formula>
    </cfRule>
  </conditionalFormatting>
  <conditionalFormatting sqref="F9:F18">
    <cfRule type="expression" dxfId="2750" priority="900" stopIfTrue="1">
      <formula>F9="Water"</formula>
    </cfRule>
    <cfRule type="expression" dxfId="2749" priority="901" stopIfTrue="1">
      <formula>F9="Land"</formula>
    </cfRule>
  </conditionalFormatting>
  <conditionalFormatting sqref="Q9:Q18">
    <cfRule type="expression" dxfId="2748" priority="898" stopIfTrue="1">
      <formula>Q9="Water"</formula>
    </cfRule>
    <cfRule type="expression" dxfId="2747" priority="899" stopIfTrue="1">
      <formula>Q9="Land"</formula>
    </cfRule>
  </conditionalFormatting>
  <conditionalFormatting sqref="Q8">
    <cfRule type="expression" dxfId="2746" priority="894" stopIfTrue="1">
      <formula>Q9="Water"</formula>
    </cfRule>
    <cfRule type="expression" dxfId="2745" priority="895" stopIfTrue="1">
      <formula>G8="Water"</formula>
    </cfRule>
    <cfRule type="expression" dxfId="2744" priority="896" stopIfTrue="1">
      <formula>G8="Land"</formula>
    </cfRule>
    <cfRule type="expression" dxfId="2743" priority="897" stopIfTrue="1">
      <formula>Q9="Land"</formula>
    </cfRule>
  </conditionalFormatting>
  <conditionalFormatting sqref="F8">
    <cfRule type="expression" dxfId="2742" priority="890" stopIfTrue="1">
      <formula>G8="Water"</formula>
    </cfRule>
    <cfRule type="expression" dxfId="2741" priority="891" stopIfTrue="1">
      <formula>F9="Water"</formula>
    </cfRule>
    <cfRule type="expression" dxfId="2740" priority="892" stopIfTrue="1">
      <formula>G8="Land"</formula>
    </cfRule>
    <cfRule type="expression" dxfId="2739" priority="893" stopIfTrue="1">
      <formula>F9="Land"</formula>
    </cfRule>
  </conditionalFormatting>
  <conditionalFormatting sqref="H10:O17">
    <cfRule type="expression" dxfId="2738" priority="889">
      <formula>H10&lt;&gt;""</formula>
    </cfRule>
  </conditionalFormatting>
  <conditionalFormatting sqref="U9:AB9">
    <cfRule type="expression" dxfId="2737" priority="888">
      <formula>U9="City Wall"</formula>
    </cfRule>
  </conditionalFormatting>
  <conditionalFormatting sqref="U18:AB18">
    <cfRule type="expression" dxfId="2736" priority="887">
      <formula>U18="City Wall"</formula>
    </cfRule>
  </conditionalFormatting>
  <conditionalFormatting sqref="T10:T17">
    <cfRule type="expression" dxfId="2735" priority="886">
      <formula>T10="City Wall"</formula>
    </cfRule>
  </conditionalFormatting>
  <conditionalFormatting sqref="AC10:AC17">
    <cfRule type="expression" dxfId="2734" priority="885">
      <formula>AC10="City Wall"</formula>
    </cfRule>
  </conditionalFormatting>
  <conditionalFormatting sqref="T9">
    <cfRule type="expression" dxfId="2733" priority="883">
      <formula>T10="City Wall"</formula>
    </cfRule>
    <cfRule type="expression" dxfId="2732" priority="884">
      <formula>U9="City Wall"</formula>
    </cfRule>
  </conditionalFormatting>
  <conditionalFormatting sqref="AC9">
    <cfRule type="expression" dxfId="2731" priority="881">
      <formula>AC10="City Wall"</formula>
    </cfRule>
    <cfRule type="expression" dxfId="2730" priority="882">
      <formula>U9="City Wall"</formula>
    </cfRule>
  </conditionalFormatting>
  <conditionalFormatting sqref="AC18">
    <cfRule type="expression" dxfId="2729" priority="879">
      <formula>U18="City Wall"</formula>
    </cfRule>
    <cfRule type="expression" dxfId="2728" priority="880">
      <formula>AC10="City Wall"</formula>
    </cfRule>
  </conditionalFormatting>
  <conditionalFormatting sqref="T18">
    <cfRule type="expression" dxfId="2727" priority="877">
      <formula>T10="City Wall"</formula>
    </cfRule>
    <cfRule type="expression" dxfId="2726" priority="878">
      <formula>U18="City Wall"</formula>
    </cfRule>
  </conditionalFormatting>
  <conditionalFormatting sqref="T19:AC19">
    <cfRule type="expression" dxfId="2725" priority="875">
      <formula>T19="Land"</formula>
    </cfRule>
    <cfRule type="expression" dxfId="2724" priority="876">
      <formula>T19="Water"</formula>
    </cfRule>
  </conditionalFormatting>
  <conditionalFormatting sqref="AD19">
    <cfRule type="expression" dxfId="2723" priority="871" stopIfTrue="1">
      <formula>AD9="Water"</formula>
    </cfRule>
    <cfRule type="expression" dxfId="2722" priority="872" stopIfTrue="1">
      <formula>T19="Water"</formula>
    </cfRule>
    <cfRule type="expression" dxfId="2721" priority="873" stopIfTrue="1">
      <formula>T19="Land"</formula>
    </cfRule>
    <cfRule type="expression" dxfId="2720" priority="874" stopIfTrue="1">
      <formula>AD9="Land"</formula>
    </cfRule>
  </conditionalFormatting>
  <conditionalFormatting sqref="T8:AC8">
    <cfRule type="expression" dxfId="2719" priority="869" stopIfTrue="1">
      <formula>T8="Water"</formula>
    </cfRule>
    <cfRule type="expression" dxfId="2718" priority="870" stopIfTrue="1">
      <formula>T8="Land"</formula>
    </cfRule>
  </conditionalFormatting>
  <conditionalFormatting sqref="S19">
    <cfRule type="expression" dxfId="2717" priority="865" stopIfTrue="1">
      <formula>S9="Water"</formula>
    </cfRule>
    <cfRule type="expression" dxfId="2716" priority="866" stopIfTrue="1">
      <formula>T19="Water"</formula>
    </cfRule>
    <cfRule type="expression" dxfId="2715" priority="867" stopIfTrue="1">
      <formula>T19="Land"</formula>
    </cfRule>
    <cfRule type="expression" dxfId="2714" priority="868" stopIfTrue="1">
      <formula>S9="Land"</formula>
    </cfRule>
  </conditionalFormatting>
  <conditionalFormatting sqref="S9:S18">
    <cfRule type="expression" dxfId="2713" priority="863" stopIfTrue="1">
      <formula>S9="Water"</formula>
    </cfRule>
    <cfRule type="expression" dxfId="2712" priority="864" stopIfTrue="1">
      <formula>S9="Land"</formula>
    </cfRule>
  </conditionalFormatting>
  <conditionalFormatting sqref="AD9:AD18">
    <cfRule type="expression" dxfId="2711" priority="861" stopIfTrue="1">
      <formula>AD9="Water"</formula>
    </cfRule>
    <cfRule type="expression" dxfId="2710" priority="862" stopIfTrue="1">
      <formula>AD9="Land"</formula>
    </cfRule>
  </conditionalFormatting>
  <conditionalFormatting sqref="AD8">
    <cfRule type="expression" dxfId="2709" priority="857" stopIfTrue="1">
      <formula>AD9="Water"</formula>
    </cfRule>
    <cfRule type="expression" dxfId="2708" priority="858" stopIfTrue="1">
      <formula>T8="Water"</formula>
    </cfRule>
    <cfRule type="expression" dxfId="2707" priority="859" stopIfTrue="1">
      <formula>T8="Land"</formula>
    </cfRule>
    <cfRule type="expression" dxfId="2706" priority="860" stopIfTrue="1">
      <formula>AD9="Land"</formula>
    </cfRule>
  </conditionalFormatting>
  <conditionalFormatting sqref="S8">
    <cfRule type="expression" dxfId="2705" priority="853" stopIfTrue="1">
      <formula>T8="Water"</formula>
    </cfRule>
    <cfRule type="expression" dxfId="2704" priority="854" stopIfTrue="1">
      <formula>S9="Water"</formula>
    </cfRule>
    <cfRule type="expression" dxfId="2703" priority="855" stopIfTrue="1">
      <formula>T8="Land"</formula>
    </cfRule>
    <cfRule type="expression" dxfId="2702" priority="856" stopIfTrue="1">
      <formula>S9="Land"</formula>
    </cfRule>
  </conditionalFormatting>
  <conditionalFormatting sqref="U10:AB17">
    <cfRule type="expression" dxfId="2701" priority="852">
      <formula>U10&lt;&gt;""</formula>
    </cfRule>
  </conditionalFormatting>
  <conditionalFormatting sqref="AH9:AO9">
    <cfRule type="expression" dxfId="2700" priority="851">
      <formula>AH9="City Wall"</formula>
    </cfRule>
  </conditionalFormatting>
  <conditionalFormatting sqref="AH18:AO18">
    <cfRule type="expression" dxfId="2699" priority="850">
      <formula>AH18="City Wall"</formula>
    </cfRule>
  </conditionalFormatting>
  <conditionalFormatting sqref="AG10:AG17">
    <cfRule type="expression" dxfId="2698" priority="849">
      <formula>AG10="City Wall"</formula>
    </cfRule>
  </conditionalFormatting>
  <conditionalFormatting sqref="AP10:AP17">
    <cfRule type="expression" dxfId="2697" priority="848">
      <formula>AP10="City Wall"</formula>
    </cfRule>
  </conditionalFormatting>
  <conditionalFormatting sqref="AG9">
    <cfRule type="expression" dxfId="2696" priority="846">
      <formula>AG10="City Wall"</formula>
    </cfRule>
    <cfRule type="expression" dxfId="2695" priority="847">
      <formula>AH9="City Wall"</formula>
    </cfRule>
  </conditionalFormatting>
  <conditionalFormatting sqref="AP9">
    <cfRule type="expression" dxfId="2694" priority="844">
      <formula>AP10="City Wall"</formula>
    </cfRule>
    <cfRule type="expression" dxfId="2693" priority="845">
      <formula>AH9="City Wall"</formula>
    </cfRule>
  </conditionalFormatting>
  <conditionalFormatting sqref="AP18">
    <cfRule type="expression" dxfId="2692" priority="842">
      <formula>AH18="City Wall"</formula>
    </cfRule>
    <cfRule type="expression" dxfId="2691" priority="843">
      <formula>AP10="City Wall"</formula>
    </cfRule>
  </conditionalFormatting>
  <conditionalFormatting sqref="AG18">
    <cfRule type="expression" dxfId="2690" priority="840">
      <formula>AG10="City Wall"</formula>
    </cfRule>
    <cfRule type="expression" dxfId="2689" priority="841">
      <formula>AH18="City Wall"</formula>
    </cfRule>
  </conditionalFormatting>
  <conditionalFormatting sqref="AG19:AP19">
    <cfRule type="expression" dxfId="2688" priority="838">
      <formula>AG19="Land"</formula>
    </cfRule>
    <cfRule type="expression" dxfId="2687" priority="839">
      <formula>AG19="Water"</formula>
    </cfRule>
  </conditionalFormatting>
  <conditionalFormatting sqref="AQ19">
    <cfRule type="expression" dxfId="2686" priority="834" stopIfTrue="1">
      <formula>AQ9="Water"</formula>
    </cfRule>
    <cfRule type="expression" dxfId="2685" priority="835" stopIfTrue="1">
      <formula>AG19="Water"</formula>
    </cfRule>
    <cfRule type="expression" dxfId="2684" priority="836" stopIfTrue="1">
      <formula>AG19="Land"</formula>
    </cfRule>
    <cfRule type="expression" dxfId="2683" priority="837" stopIfTrue="1">
      <formula>AQ9="Land"</formula>
    </cfRule>
  </conditionalFormatting>
  <conditionalFormatting sqref="AG8:AP8">
    <cfRule type="expression" dxfId="2682" priority="832" stopIfTrue="1">
      <formula>AG8="Water"</formula>
    </cfRule>
    <cfRule type="expression" dxfId="2681" priority="833" stopIfTrue="1">
      <formula>AG8="Land"</formula>
    </cfRule>
  </conditionalFormatting>
  <conditionalFormatting sqref="AF19">
    <cfRule type="expression" dxfId="2680" priority="828" stopIfTrue="1">
      <formula>AF9="Water"</formula>
    </cfRule>
    <cfRule type="expression" dxfId="2679" priority="829" stopIfTrue="1">
      <formula>AG19="Water"</formula>
    </cfRule>
    <cfRule type="expression" dxfId="2678" priority="830" stopIfTrue="1">
      <formula>AG19="Land"</formula>
    </cfRule>
    <cfRule type="expression" dxfId="2677" priority="831" stopIfTrue="1">
      <formula>AF9="Land"</formula>
    </cfRule>
  </conditionalFormatting>
  <conditionalFormatting sqref="AF9:AF18">
    <cfRule type="expression" dxfId="2676" priority="826" stopIfTrue="1">
      <formula>AF9="Water"</formula>
    </cfRule>
    <cfRule type="expression" dxfId="2675" priority="827" stopIfTrue="1">
      <formula>AF9="Land"</formula>
    </cfRule>
  </conditionalFormatting>
  <conditionalFormatting sqref="AQ9:AQ18">
    <cfRule type="expression" dxfId="2674" priority="824" stopIfTrue="1">
      <formula>AQ9="Water"</formula>
    </cfRule>
    <cfRule type="expression" dxfId="2673" priority="825" stopIfTrue="1">
      <formula>AQ9="Land"</formula>
    </cfRule>
  </conditionalFormatting>
  <conditionalFormatting sqref="AQ8">
    <cfRule type="expression" dxfId="2672" priority="820" stopIfTrue="1">
      <formula>AQ9="Water"</formula>
    </cfRule>
    <cfRule type="expression" dxfId="2671" priority="821" stopIfTrue="1">
      <formula>AG8="Water"</formula>
    </cfRule>
    <cfRule type="expression" dxfId="2670" priority="822" stopIfTrue="1">
      <formula>AG8="Land"</formula>
    </cfRule>
    <cfRule type="expression" dxfId="2669" priority="823" stopIfTrue="1">
      <formula>AQ9="Land"</formula>
    </cfRule>
  </conditionalFormatting>
  <conditionalFormatting sqref="AF8">
    <cfRule type="expression" dxfId="2668" priority="816" stopIfTrue="1">
      <formula>AG8="Water"</formula>
    </cfRule>
    <cfRule type="expression" dxfId="2667" priority="817" stopIfTrue="1">
      <formula>AF9="Water"</formula>
    </cfRule>
    <cfRule type="expression" dxfId="2666" priority="818" stopIfTrue="1">
      <formula>AG8="Land"</formula>
    </cfRule>
    <cfRule type="expression" dxfId="2665" priority="819" stopIfTrue="1">
      <formula>AF9="Land"</formula>
    </cfRule>
  </conditionalFormatting>
  <conditionalFormatting sqref="AH10:AO17">
    <cfRule type="expression" dxfId="2664" priority="815">
      <formula>AH10&lt;&gt;""</formula>
    </cfRule>
  </conditionalFormatting>
  <conditionalFormatting sqref="H22:O22">
    <cfRule type="expression" dxfId="2663" priority="814">
      <formula>H22="City Wall"</formula>
    </cfRule>
  </conditionalFormatting>
  <conditionalFormatting sqref="H31:O31">
    <cfRule type="expression" dxfId="2662" priority="813">
      <formula>H31="City Wall"</formula>
    </cfRule>
  </conditionalFormatting>
  <conditionalFormatting sqref="G23:G30">
    <cfRule type="expression" dxfId="2661" priority="812">
      <formula>G23="City Wall"</formula>
    </cfRule>
  </conditionalFormatting>
  <conditionalFormatting sqref="P23:P30">
    <cfRule type="expression" dxfId="2660" priority="811">
      <formula>P23="City Wall"</formula>
    </cfRule>
  </conditionalFormatting>
  <conditionalFormatting sqref="G22">
    <cfRule type="expression" dxfId="2659" priority="809">
      <formula>G23="City Wall"</formula>
    </cfRule>
    <cfRule type="expression" dxfId="2658" priority="810">
      <formula>H22="City Wall"</formula>
    </cfRule>
  </conditionalFormatting>
  <conditionalFormatting sqref="P22">
    <cfRule type="expression" dxfId="2657" priority="807">
      <formula>P23="City Wall"</formula>
    </cfRule>
    <cfRule type="expression" dxfId="2656" priority="808">
      <formula>H22="City Wall"</formula>
    </cfRule>
  </conditionalFormatting>
  <conditionalFormatting sqref="P31">
    <cfRule type="expression" dxfId="2655" priority="805">
      <formula>H31="City Wall"</formula>
    </cfRule>
    <cfRule type="expression" dxfId="2654" priority="806">
      <formula>P23="City Wall"</formula>
    </cfRule>
  </conditionalFormatting>
  <conditionalFormatting sqref="G31">
    <cfRule type="expression" dxfId="2653" priority="803">
      <formula>G23="City Wall"</formula>
    </cfRule>
    <cfRule type="expression" dxfId="2652" priority="804">
      <formula>H31="City Wall"</formula>
    </cfRule>
  </conditionalFormatting>
  <conditionalFormatting sqref="G32:P32">
    <cfRule type="expression" dxfId="2651" priority="801">
      <formula>G32="Land"</formula>
    </cfRule>
    <cfRule type="expression" dxfId="2650" priority="802">
      <formula>G32="Water"</formula>
    </cfRule>
  </conditionalFormatting>
  <conditionalFormatting sqref="Q32">
    <cfRule type="expression" dxfId="2649" priority="797" stopIfTrue="1">
      <formula>Q22="Water"</formula>
    </cfRule>
    <cfRule type="expression" dxfId="2648" priority="798" stopIfTrue="1">
      <formula>G32="Water"</formula>
    </cfRule>
    <cfRule type="expression" dxfId="2647" priority="799" stopIfTrue="1">
      <formula>G32="Land"</formula>
    </cfRule>
    <cfRule type="expression" dxfId="2646" priority="800" stopIfTrue="1">
      <formula>Q22="Land"</formula>
    </cfRule>
  </conditionalFormatting>
  <conditionalFormatting sqref="G21:P21">
    <cfRule type="expression" dxfId="2645" priority="795" stopIfTrue="1">
      <formula>G21="Water"</formula>
    </cfRule>
    <cfRule type="expression" dxfId="2644" priority="796" stopIfTrue="1">
      <formula>G21="Land"</formula>
    </cfRule>
  </conditionalFormatting>
  <conditionalFormatting sqref="F32">
    <cfRule type="expression" dxfId="2643" priority="791" stopIfTrue="1">
      <formula>F22="Water"</formula>
    </cfRule>
    <cfRule type="expression" dxfId="2642" priority="792" stopIfTrue="1">
      <formula>G32="Water"</formula>
    </cfRule>
    <cfRule type="expression" dxfId="2641" priority="793" stopIfTrue="1">
      <formula>G32="Land"</formula>
    </cfRule>
    <cfRule type="expression" dxfId="2640" priority="794" stopIfTrue="1">
      <formula>F22="Land"</formula>
    </cfRule>
  </conditionalFormatting>
  <conditionalFormatting sqref="F22:F31">
    <cfRule type="expression" dxfId="2639" priority="789" stopIfTrue="1">
      <formula>F22="Water"</formula>
    </cfRule>
    <cfRule type="expression" dxfId="2638" priority="790" stopIfTrue="1">
      <formula>F22="Land"</formula>
    </cfRule>
  </conditionalFormatting>
  <conditionalFormatting sqref="Q22:Q31">
    <cfRule type="expression" dxfId="2637" priority="787" stopIfTrue="1">
      <formula>Q22="Water"</formula>
    </cfRule>
    <cfRule type="expression" dxfId="2636" priority="788" stopIfTrue="1">
      <formula>Q22="Land"</formula>
    </cfRule>
  </conditionalFormatting>
  <conditionalFormatting sqref="Q21">
    <cfRule type="expression" dxfId="2635" priority="783" stopIfTrue="1">
      <formula>Q22="Water"</formula>
    </cfRule>
    <cfRule type="expression" dxfId="2634" priority="784" stopIfTrue="1">
      <formula>G21="Water"</formula>
    </cfRule>
    <cfRule type="expression" dxfId="2633" priority="785" stopIfTrue="1">
      <formula>G21="Land"</formula>
    </cfRule>
    <cfRule type="expression" dxfId="2632" priority="786" stopIfTrue="1">
      <formula>Q22="Land"</formula>
    </cfRule>
  </conditionalFormatting>
  <conditionalFormatting sqref="F21">
    <cfRule type="expression" dxfId="2631" priority="779" stopIfTrue="1">
      <formula>G21="Water"</formula>
    </cfRule>
    <cfRule type="expression" dxfId="2630" priority="780" stopIfTrue="1">
      <formula>F22="Water"</formula>
    </cfRule>
    <cfRule type="expression" dxfId="2629" priority="781" stopIfTrue="1">
      <formula>G21="Land"</formula>
    </cfRule>
    <cfRule type="expression" dxfId="2628" priority="782" stopIfTrue="1">
      <formula>F22="Land"</formula>
    </cfRule>
  </conditionalFormatting>
  <conditionalFormatting sqref="H23:O30">
    <cfRule type="expression" dxfId="2627" priority="778">
      <formula>H23&lt;&gt;""</formula>
    </cfRule>
  </conditionalFormatting>
  <conditionalFormatting sqref="U22:AB22">
    <cfRule type="expression" dxfId="2626" priority="777">
      <formula>U22="City Wall"</formula>
    </cfRule>
  </conditionalFormatting>
  <conditionalFormatting sqref="U31:AB31">
    <cfRule type="expression" dxfId="2625" priority="776">
      <formula>U31="City Wall"</formula>
    </cfRule>
  </conditionalFormatting>
  <conditionalFormatting sqref="T23:T30">
    <cfRule type="expression" dxfId="2624" priority="775">
      <formula>T23="City Wall"</formula>
    </cfRule>
  </conditionalFormatting>
  <conditionalFormatting sqref="AC23:AC30">
    <cfRule type="expression" dxfId="2623" priority="774">
      <formula>AC23="City Wall"</formula>
    </cfRule>
  </conditionalFormatting>
  <conditionalFormatting sqref="T22">
    <cfRule type="expression" dxfId="2622" priority="772">
      <formula>T23="City Wall"</formula>
    </cfRule>
    <cfRule type="expression" dxfId="2621" priority="773">
      <formula>U22="City Wall"</formula>
    </cfRule>
  </conditionalFormatting>
  <conditionalFormatting sqref="AC22">
    <cfRule type="expression" dxfId="2620" priority="770">
      <formula>AC23="City Wall"</formula>
    </cfRule>
    <cfRule type="expression" dxfId="2619" priority="771">
      <formula>U22="City Wall"</formula>
    </cfRule>
  </conditionalFormatting>
  <conditionalFormatting sqref="AC31">
    <cfRule type="expression" dxfId="2618" priority="768">
      <formula>U31="City Wall"</formula>
    </cfRule>
    <cfRule type="expression" dxfId="2617" priority="769">
      <formula>AC23="City Wall"</formula>
    </cfRule>
  </conditionalFormatting>
  <conditionalFormatting sqref="T31">
    <cfRule type="expression" dxfId="2616" priority="766">
      <formula>T23="City Wall"</formula>
    </cfRule>
    <cfRule type="expression" dxfId="2615" priority="767">
      <formula>U31="City Wall"</formula>
    </cfRule>
  </conditionalFormatting>
  <conditionalFormatting sqref="T32:AC32">
    <cfRule type="expression" dxfId="2614" priority="764">
      <formula>T32="Land"</formula>
    </cfRule>
    <cfRule type="expression" dxfId="2613" priority="765">
      <formula>T32="Water"</formula>
    </cfRule>
  </conditionalFormatting>
  <conditionalFormatting sqref="AD32">
    <cfRule type="expression" dxfId="2612" priority="760" stopIfTrue="1">
      <formula>AD22="Water"</formula>
    </cfRule>
    <cfRule type="expression" dxfId="2611" priority="761" stopIfTrue="1">
      <formula>T32="Water"</formula>
    </cfRule>
    <cfRule type="expression" dxfId="2610" priority="762" stopIfTrue="1">
      <formula>T32="Land"</formula>
    </cfRule>
    <cfRule type="expression" dxfId="2609" priority="763" stopIfTrue="1">
      <formula>AD22="Land"</formula>
    </cfRule>
  </conditionalFormatting>
  <conditionalFormatting sqref="T21:AC21">
    <cfRule type="expression" dxfId="2608" priority="758" stopIfTrue="1">
      <formula>T21="Water"</formula>
    </cfRule>
    <cfRule type="expression" dxfId="2607" priority="759" stopIfTrue="1">
      <formula>T21="Land"</formula>
    </cfRule>
  </conditionalFormatting>
  <conditionalFormatting sqref="S32">
    <cfRule type="expression" dxfId="2606" priority="754" stopIfTrue="1">
      <formula>S22="Water"</formula>
    </cfRule>
    <cfRule type="expression" dxfId="2605" priority="755" stopIfTrue="1">
      <formula>T32="Water"</formula>
    </cfRule>
    <cfRule type="expression" dxfId="2604" priority="756" stopIfTrue="1">
      <formula>T32="Land"</formula>
    </cfRule>
    <cfRule type="expression" dxfId="2603" priority="757" stopIfTrue="1">
      <formula>S22="Land"</formula>
    </cfRule>
  </conditionalFormatting>
  <conditionalFormatting sqref="S22:S31">
    <cfRule type="expression" dxfId="2602" priority="752" stopIfTrue="1">
      <formula>S22="Water"</formula>
    </cfRule>
    <cfRule type="expression" dxfId="2601" priority="753" stopIfTrue="1">
      <formula>S22="Land"</formula>
    </cfRule>
  </conditionalFormatting>
  <conditionalFormatting sqref="AD22:AD31">
    <cfRule type="expression" dxfId="2600" priority="750" stopIfTrue="1">
      <formula>AD22="Water"</formula>
    </cfRule>
    <cfRule type="expression" dxfId="2599" priority="751" stopIfTrue="1">
      <formula>AD22="Land"</formula>
    </cfRule>
  </conditionalFormatting>
  <conditionalFormatting sqref="AD21">
    <cfRule type="expression" dxfId="2598" priority="746" stopIfTrue="1">
      <formula>AD22="Water"</formula>
    </cfRule>
    <cfRule type="expression" dxfId="2597" priority="747" stopIfTrue="1">
      <formula>T21="Water"</formula>
    </cfRule>
    <cfRule type="expression" dxfId="2596" priority="748" stopIfTrue="1">
      <formula>T21="Land"</formula>
    </cfRule>
    <cfRule type="expression" dxfId="2595" priority="749" stopIfTrue="1">
      <formula>AD22="Land"</formula>
    </cfRule>
  </conditionalFormatting>
  <conditionalFormatting sqref="S21">
    <cfRule type="expression" dxfId="2594" priority="742" stopIfTrue="1">
      <formula>T21="Water"</formula>
    </cfRule>
    <cfRule type="expression" dxfId="2593" priority="743" stopIfTrue="1">
      <formula>S22="Water"</formula>
    </cfRule>
    <cfRule type="expression" dxfId="2592" priority="744" stopIfTrue="1">
      <formula>T21="Land"</formula>
    </cfRule>
    <cfRule type="expression" dxfId="2591" priority="745" stopIfTrue="1">
      <formula>S22="Land"</formula>
    </cfRule>
  </conditionalFormatting>
  <conditionalFormatting sqref="U23:AB30">
    <cfRule type="expression" dxfId="2590" priority="741">
      <formula>U23&lt;&gt;""</formula>
    </cfRule>
  </conditionalFormatting>
  <conditionalFormatting sqref="AH22:AO22">
    <cfRule type="expression" dxfId="2589" priority="740">
      <formula>AH22="City Wall"</formula>
    </cfRule>
  </conditionalFormatting>
  <conditionalFormatting sqref="AH31:AO31">
    <cfRule type="expression" dxfId="2588" priority="739">
      <formula>AH31="City Wall"</formula>
    </cfRule>
  </conditionalFormatting>
  <conditionalFormatting sqref="AG23:AG30">
    <cfRule type="expression" dxfId="2587" priority="738">
      <formula>AG23="City Wall"</formula>
    </cfRule>
  </conditionalFormatting>
  <conditionalFormatting sqref="AP23:AP30">
    <cfRule type="expression" dxfId="2586" priority="737">
      <formula>AP23="City Wall"</formula>
    </cfRule>
  </conditionalFormatting>
  <conditionalFormatting sqref="AG22">
    <cfRule type="expression" dxfId="2585" priority="735">
      <formula>AG23="City Wall"</formula>
    </cfRule>
    <cfRule type="expression" dxfId="2584" priority="736">
      <formula>AH22="City Wall"</formula>
    </cfRule>
  </conditionalFormatting>
  <conditionalFormatting sqref="AP22">
    <cfRule type="expression" dxfId="2583" priority="733">
      <formula>AP23="City Wall"</formula>
    </cfRule>
    <cfRule type="expression" dxfId="2582" priority="734">
      <formula>AH22="City Wall"</formula>
    </cfRule>
  </conditionalFormatting>
  <conditionalFormatting sqref="AP31">
    <cfRule type="expression" dxfId="2581" priority="731">
      <formula>AH31="City Wall"</formula>
    </cfRule>
    <cfRule type="expression" dxfId="2580" priority="732">
      <formula>AP23="City Wall"</formula>
    </cfRule>
  </conditionalFormatting>
  <conditionalFormatting sqref="AG31">
    <cfRule type="expression" dxfId="2579" priority="729">
      <formula>AG23="City Wall"</formula>
    </cfRule>
    <cfRule type="expression" dxfId="2578" priority="730">
      <formula>AH31="City Wall"</formula>
    </cfRule>
  </conditionalFormatting>
  <conditionalFormatting sqref="AG32:AP32">
    <cfRule type="expression" dxfId="2577" priority="727">
      <formula>AG32="Land"</formula>
    </cfRule>
    <cfRule type="expression" dxfId="2576" priority="728">
      <formula>AG32="Water"</formula>
    </cfRule>
  </conditionalFormatting>
  <conditionalFormatting sqref="AQ32">
    <cfRule type="expression" dxfId="2575" priority="723" stopIfTrue="1">
      <formula>AQ22="Water"</formula>
    </cfRule>
    <cfRule type="expression" dxfId="2574" priority="724" stopIfTrue="1">
      <formula>AG32="Water"</formula>
    </cfRule>
    <cfRule type="expression" dxfId="2573" priority="725" stopIfTrue="1">
      <formula>AG32="Land"</formula>
    </cfRule>
    <cfRule type="expression" dxfId="2572" priority="726" stopIfTrue="1">
      <formula>AQ22="Land"</formula>
    </cfRule>
  </conditionalFormatting>
  <conditionalFormatting sqref="AG21:AP21">
    <cfRule type="expression" dxfId="2571" priority="721" stopIfTrue="1">
      <formula>AG21="Water"</formula>
    </cfRule>
    <cfRule type="expression" dxfId="2570" priority="722" stopIfTrue="1">
      <formula>AG21="Land"</formula>
    </cfRule>
  </conditionalFormatting>
  <conditionalFormatting sqref="AF32">
    <cfRule type="expression" dxfId="2569" priority="717" stopIfTrue="1">
      <formula>AF22="Water"</formula>
    </cfRule>
    <cfRule type="expression" dxfId="2568" priority="718" stopIfTrue="1">
      <formula>AG32="Water"</formula>
    </cfRule>
    <cfRule type="expression" dxfId="2567" priority="719" stopIfTrue="1">
      <formula>AG32="Land"</formula>
    </cfRule>
    <cfRule type="expression" dxfId="2566" priority="720" stopIfTrue="1">
      <formula>AF22="Land"</formula>
    </cfRule>
  </conditionalFormatting>
  <conditionalFormatting sqref="AF22:AF31">
    <cfRule type="expression" dxfId="2565" priority="715" stopIfTrue="1">
      <formula>AF22="Water"</formula>
    </cfRule>
    <cfRule type="expression" dxfId="2564" priority="716" stopIfTrue="1">
      <formula>AF22="Land"</formula>
    </cfRule>
  </conditionalFormatting>
  <conditionalFormatting sqref="AQ22:AQ31">
    <cfRule type="expression" dxfId="2563" priority="713" stopIfTrue="1">
      <formula>AQ22="Water"</formula>
    </cfRule>
    <cfRule type="expression" dxfId="2562" priority="714" stopIfTrue="1">
      <formula>AQ22="Land"</formula>
    </cfRule>
  </conditionalFormatting>
  <conditionalFormatting sqref="AQ21">
    <cfRule type="expression" dxfId="2561" priority="709" stopIfTrue="1">
      <formula>AQ22="Water"</formula>
    </cfRule>
    <cfRule type="expression" dxfId="2560" priority="710" stopIfTrue="1">
      <formula>AG21="Water"</formula>
    </cfRule>
    <cfRule type="expression" dxfId="2559" priority="711" stopIfTrue="1">
      <formula>AG21="Land"</formula>
    </cfRule>
    <cfRule type="expression" dxfId="2558" priority="712" stopIfTrue="1">
      <formula>AQ22="Land"</formula>
    </cfRule>
  </conditionalFormatting>
  <conditionalFormatting sqref="AF21">
    <cfRule type="expression" dxfId="2557" priority="705" stopIfTrue="1">
      <formula>AG21="Water"</formula>
    </cfRule>
    <cfRule type="expression" dxfId="2556" priority="706" stopIfTrue="1">
      <formula>AF22="Water"</formula>
    </cfRule>
    <cfRule type="expression" dxfId="2555" priority="707" stopIfTrue="1">
      <formula>AG21="Land"</formula>
    </cfRule>
    <cfRule type="expression" dxfId="2554" priority="708" stopIfTrue="1">
      <formula>AF22="Land"</formula>
    </cfRule>
  </conditionalFormatting>
  <conditionalFormatting sqref="AH23:AO30">
    <cfRule type="expression" dxfId="2553" priority="704">
      <formula>AH23&lt;&gt;""</formula>
    </cfRule>
  </conditionalFormatting>
  <conditionalFormatting sqref="H35:O35">
    <cfRule type="expression" dxfId="2552" priority="703">
      <formula>H35="City Wall"</formula>
    </cfRule>
  </conditionalFormatting>
  <conditionalFormatting sqref="H44:O44">
    <cfRule type="expression" dxfId="2551" priority="702">
      <formula>H44="City Wall"</formula>
    </cfRule>
  </conditionalFormatting>
  <conditionalFormatting sqref="G36:G43">
    <cfRule type="expression" dxfId="2550" priority="701">
      <formula>G36="City Wall"</formula>
    </cfRule>
  </conditionalFormatting>
  <conditionalFormatting sqref="P36:P43">
    <cfRule type="expression" dxfId="2549" priority="700">
      <formula>P36="City Wall"</formula>
    </cfRule>
  </conditionalFormatting>
  <conditionalFormatting sqref="G35">
    <cfRule type="expression" dxfId="2548" priority="698">
      <formula>G36="City Wall"</formula>
    </cfRule>
    <cfRule type="expression" dxfId="2547" priority="699">
      <formula>H35="City Wall"</formula>
    </cfRule>
  </conditionalFormatting>
  <conditionalFormatting sqref="P35">
    <cfRule type="expression" dxfId="2546" priority="696">
      <formula>P36="City Wall"</formula>
    </cfRule>
    <cfRule type="expression" dxfId="2545" priority="697">
      <formula>H35="City Wall"</formula>
    </cfRule>
  </conditionalFormatting>
  <conditionalFormatting sqref="P44">
    <cfRule type="expression" dxfId="2544" priority="694">
      <formula>H44="City Wall"</formula>
    </cfRule>
    <cfRule type="expression" dxfId="2543" priority="695">
      <formula>P36="City Wall"</formula>
    </cfRule>
  </conditionalFormatting>
  <conditionalFormatting sqref="G44">
    <cfRule type="expression" dxfId="2542" priority="692">
      <formula>G36="City Wall"</formula>
    </cfRule>
    <cfRule type="expression" dxfId="2541" priority="693">
      <formula>H44="City Wall"</formula>
    </cfRule>
  </conditionalFormatting>
  <conditionalFormatting sqref="G45:P45">
    <cfRule type="expression" dxfId="2540" priority="690">
      <formula>G45="Land"</formula>
    </cfRule>
    <cfRule type="expression" dxfId="2539" priority="691">
      <formula>G45="Water"</formula>
    </cfRule>
  </conditionalFormatting>
  <conditionalFormatting sqref="Q45">
    <cfRule type="expression" dxfId="2538" priority="686" stopIfTrue="1">
      <formula>Q35="Water"</formula>
    </cfRule>
    <cfRule type="expression" dxfId="2537" priority="687" stopIfTrue="1">
      <formula>G45="Water"</formula>
    </cfRule>
    <cfRule type="expression" dxfId="2536" priority="688" stopIfTrue="1">
      <formula>G45="Land"</formula>
    </cfRule>
    <cfRule type="expression" dxfId="2535" priority="689" stopIfTrue="1">
      <formula>Q35="Land"</formula>
    </cfRule>
  </conditionalFormatting>
  <conditionalFormatting sqref="G34:P34">
    <cfRule type="expression" dxfId="2534" priority="684" stopIfTrue="1">
      <formula>G34="Water"</formula>
    </cfRule>
    <cfRule type="expression" dxfId="2533" priority="685" stopIfTrue="1">
      <formula>G34="Land"</formula>
    </cfRule>
  </conditionalFormatting>
  <conditionalFormatting sqref="F45">
    <cfRule type="expression" dxfId="2532" priority="680" stopIfTrue="1">
      <formula>F35="Water"</formula>
    </cfRule>
    <cfRule type="expression" dxfId="2531" priority="681" stopIfTrue="1">
      <formula>G45="Water"</formula>
    </cfRule>
    <cfRule type="expression" dxfId="2530" priority="682" stopIfTrue="1">
      <formula>G45="Land"</formula>
    </cfRule>
    <cfRule type="expression" dxfId="2529" priority="683" stopIfTrue="1">
      <formula>F35="Land"</formula>
    </cfRule>
  </conditionalFormatting>
  <conditionalFormatting sqref="F35:F44">
    <cfRule type="expression" dxfId="2528" priority="678" stopIfTrue="1">
      <formula>F35="Water"</formula>
    </cfRule>
    <cfRule type="expression" dxfId="2527" priority="679" stopIfTrue="1">
      <formula>F35="Land"</formula>
    </cfRule>
  </conditionalFormatting>
  <conditionalFormatting sqref="Q35:Q44">
    <cfRule type="expression" dxfId="2526" priority="676" stopIfTrue="1">
      <formula>Q35="Water"</formula>
    </cfRule>
    <cfRule type="expression" dxfId="2525" priority="677" stopIfTrue="1">
      <formula>Q35="Land"</formula>
    </cfRule>
  </conditionalFormatting>
  <conditionalFormatting sqref="Q34">
    <cfRule type="expression" dxfId="2524" priority="672" stopIfTrue="1">
      <formula>Q35="Water"</formula>
    </cfRule>
    <cfRule type="expression" dxfId="2523" priority="673" stopIfTrue="1">
      <formula>G34="Water"</formula>
    </cfRule>
    <cfRule type="expression" dxfId="2522" priority="674" stopIfTrue="1">
      <formula>G34="Land"</formula>
    </cfRule>
    <cfRule type="expression" dxfId="2521" priority="675" stopIfTrue="1">
      <formula>Q35="Land"</formula>
    </cfRule>
  </conditionalFormatting>
  <conditionalFormatting sqref="F34">
    <cfRule type="expression" dxfId="2520" priority="668" stopIfTrue="1">
      <formula>G34="Water"</formula>
    </cfRule>
    <cfRule type="expression" dxfId="2519" priority="669" stopIfTrue="1">
      <formula>F35="Water"</formula>
    </cfRule>
    <cfRule type="expression" dxfId="2518" priority="670" stopIfTrue="1">
      <formula>G34="Land"</formula>
    </cfRule>
    <cfRule type="expression" dxfId="2517" priority="671" stopIfTrue="1">
      <formula>F35="Land"</formula>
    </cfRule>
  </conditionalFormatting>
  <conditionalFormatting sqref="H36:O43">
    <cfRule type="expression" dxfId="2516" priority="667">
      <formula>H36&lt;&gt;""</formula>
    </cfRule>
  </conditionalFormatting>
  <conditionalFormatting sqref="U35:AB35">
    <cfRule type="expression" dxfId="2515" priority="666">
      <formula>U35="City Wall"</formula>
    </cfRule>
  </conditionalFormatting>
  <conditionalFormatting sqref="U44:AB44">
    <cfRule type="expression" dxfId="2514" priority="665">
      <formula>U44="City Wall"</formula>
    </cfRule>
  </conditionalFormatting>
  <conditionalFormatting sqref="T36:T43">
    <cfRule type="expression" dxfId="2513" priority="664">
      <formula>T36="City Wall"</formula>
    </cfRule>
  </conditionalFormatting>
  <conditionalFormatting sqref="AC36:AC43">
    <cfRule type="expression" dxfId="2512" priority="663">
      <formula>AC36="City Wall"</formula>
    </cfRule>
  </conditionalFormatting>
  <conditionalFormatting sqref="T35">
    <cfRule type="expression" dxfId="2511" priority="661">
      <formula>T36="City Wall"</formula>
    </cfRule>
    <cfRule type="expression" dxfId="2510" priority="662">
      <formula>U35="City Wall"</formula>
    </cfRule>
  </conditionalFormatting>
  <conditionalFormatting sqref="AC35">
    <cfRule type="expression" dxfId="2509" priority="659">
      <formula>AC36="City Wall"</formula>
    </cfRule>
    <cfRule type="expression" dxfId="2508" priority="660">
      <formula>U35="City Wall"</formula>
    </cfRule>
  </conditionalFormatting>
  <conditionalFormatting sqref="AC44">
    <cfRule type="expression" dxfId="2507" priority="657">
      <formula>U44="City Wall"</formula>
    </cfRule>
    <cfRule type="expression" dxfId="2506" priority="658">
      <formula>AC36="City Wall"</formula>
    </cfRule>
  </conditionalFormatting>
  <conditionalFormatting sqref="T44">
    <cfRule type="expression" dxfId="2505" priority="655">
      <formula>T36="City Wall"</formula>
    </cfRule>
    <cfRule type="expression" dxfId="2504" priority="656">
      <formula>U44="City Wall"</formula>
    </cfRule>
  </conditionalFormatting>
  <conditionalFormatting sqref="T45:AC45">
    <cfRule type="expression" dxfId="2503" priority="653">
      <formula>T45="Land"</formula>
    </cfRule>
    <cfRule type="expression" dxfId="2502" priority="654">
      <formula>T45="Water"</formula>
    </cfRule>
  </conditionalFormatting>
  <conditionalFormatting sqref="AD45">
    <cfRule type="expression" dxfId="2501" priority="649" stopIfTrue="1">
      <formula>AD35="Water"</formula>
    </cfRule>
    <cfRule type="expression" dxfId="2500" priority="650" stopIfTrue="1">
      <formula>T45="Water"</formula>
    </cfRule>
    <cfRule type="expression" dxfId="2499" priority="651" stopIfTrue="1">
      <formula>T45="Land"</formula>
    </cfRule>
    <cfRule type="expression" dxfId="2498" priority="652" stopIfTrue="1">
      <formula>AD35="Land"</formula>
    </cfRule>
  </conditionalFormatting>
  <conditionalFormatting sqref="T34:AC34">
    <cfRule type="expression" dxfId="2497" priority="647" stopIfTrue="1">
      <formula>T34="Water"</formula>
    </cfRule>
    <cfRule type="expression" dxfId="2496" priority="648" stopIfTrue="1">
      <formula>T34="Land"</formula>
    </cfRule>
  </conditionalFormatting>
  <conditionalFormatting sqref="S45">
    <cfRule type="expression" dxfId="2495" priority="643" stopIfTrue="1">
      <formula>S35="Water"</formula>
    </cfRule>
    <cfRule type="expression" dxfId="2494" priority="644" stopIfTrue="1">
      <formula>T45="Water"</formula>
    </cfRule>
    <cfRule type="expression" dxfId="2493" priority="645" stopIfTrue="1">
      <formula>T45="Land"</formula>
    </cfRule>
    <cfRule type="expression" dxfId="2492" priority="646" stopIfTrue="1">
      <formula>S35="Land"</formula>
    </cfRule>
  </conditionalFormatting>
  <conditionalFormatting sqref="S35:S44">
    <cfRule type="expression" dxfId="2491" priority="641" stopIfTrue="1">
      <formula>S35="Water"</formula>
    </cfRule>
    <cfRule type="expression" dxfId="2490" priority="642" stopIfTrue="1">
      <formula>S35="Land"</formula>
    </cfRule>
  </conditionalFormatting>
  <conditionalFormatting sqref="AD35:AD44">
    <cfRule type="expression" dxfId="2489" priority="639" stopIfTrue="1">
      <formula>AD35="Water"</formula>
    </cfRule>
    <cfRule type="expression" dxfId="2488" priority="640" stopIfTrue="1">
      <formula>AD35="Land"</formula>
    </cfRule>
  </conditionalFormatting>
  <conditionalFormatting sqref="AD34">
    <cfRule type="expression" dxfId="2487" priority="635" stopIfTrue="1">
      <formula>AD35="Water"</formula>
    </cfRule>
    <cfRule type="expression" dxfId="2486" priority="636" stopIfTrue="1">
      <formula>T34="Water"</formula>
    </cfRule>
    <cfRule type="expression" dxfId="2485" priority="637" stopIfTrue="1">
      <formula>T34="Land"</formula>
    </cfRule>
    <cfRule type="expression" dxfId="2484" priority="638" stopIfTrue="1">
      <formula>AD35="Land"</formula>
    </cfRule>
  </conditionalFormatting>
  <conditionalFormatting sqref="S34">
    <cfRule type="expression" dxfId="2483" priority="631" stopIfTrue="1">
      <formula>T34="Water"</formula>
    </cfRule>
    <cfRule type="expression" dxfId="2482" priority="632" stopIfTrue="1">
      <formula>S35="Water"</formula>
    </cfRule>
    <cfRule type="expression" dxfId="2481" priority="633" stopIfTrue="1">
      <formula>T34="Land"</formula>
    </cfRule>
    <cfRule type="expression" dxfId="2480" priority="634" stopIfTrue="1">
      <formula>S35="Land"</formula>
    </cfRule>
  </conditionalFormatting>
  <conditionalFormatting sqref="U36:AB43">
    <cfRule type="expression" dxfId="2479" priority="630">
      <formula>U36&lt;&gt;""</formula>
    </cfRule>
  </conditionalFormatting>
  <conditionalFormatting sqref="AH35:AO35">
    <cfRule type="expression" dxfId="2478" priority="629">
      <formula>AH35="City Wall"</formula>
    </cfRule>
  </conditionalFormatting>
  <conditionalFormatting sqref="AH44:AO44">
    <cfRule type="expression" dxfId="2477" priority="628">
      <formula>AH44="City Wall"</formula>
    </cfRule>
  </conditionalFormatting>
  <conditionalFormatting sqref="AG36:AG43">
    <cfRule type="expression" dxfId="2476" priority="627">
      <formula>AG36="City Wall"</formula>
    </cfRule>
  </conditionalFormatting>
  <conditionalFormatting sqref="AP36:AP43">
    <cfRule type="expression" dxfId="2475" priority="626">
      <formula>AP36="City Wall"</formula>
    </cfRule>
  </conditionalFormatting>
  <conditionalFormatting sqref="AG35">
    <cfRule type="expression" dxfId="2474" priority="624">
      <formula>AG36="City Wall"</formula>
    </cfRule>
    <cfRule type="expression" dxfId="2473" priority="625">
      <formula>AH35="City Wall"</formula>
    </cfRule>
  </conditionalFormatting>
  <conditionalFormatting sqref="AP35">
    <cfRule type="expression" dxfId="2472" priority="622">
      <formula>AP36="City Wall"</formula>
    </cfRule>
    <cfRule type="expression" dxfId="2471" priority="623">
      <formula>AH35="City Wall"</formula>
    </cfRule>
  </conditionalFormatting>
  <conditionalFormatting sqref="AP44">
    <cfRule type="expression" dxfId="2470" priority="620">
      <formula>AH44="City Wall"</formula>
    </cfRule>
    <cfRule type="expression" dxfId="2469" priority="621">
      <formula>AP36="City Wall"</formula>
    </cfRule>
  </conditionalFormatting>
  <conditionalFormatting sqref="AG44">
    <cfRule type="expression" dxfId="2468" priority="618">
      <formula>AG36="City Wall"</formula>
    </cfRule>
    <cfRule type="expression" dxfId="2467" priority="619">
      <formula>AH44="City Wall"</formula>
    </cfRule>
  </conditionalFormatting>
  <conditionalFormatting sqref="AG45:AP45">
    <cfRule type="expression" dxfId="2466" priority="616">
      <formula>AG45="Land"</formula>
    </cfRule>
    <cfRule type="expression" dxfId="2465" priority="617">
      <formula>AG45="Water"</formula>
    </cfRule>
  </conditionalFormatting>
  <conditionalFormatting sqref="AQ45">
    <cfRule type="expression" dxfId="2464" priority="612" stopIfTrue="1">
      <formula>AQ35="Water"</formula>
    </cfRule>
    <cfRule type="expression" dxfId="2463" priority="613" stopIfTrue="1">
      <formula>AG45="Water"</formula>
    </cfRule>
    <cfRule type="expression" dxfId="2462" priority="614" stopIfTrue="1">
      <formula>AG45="Land"</formula>
    </cfRule>
    <cfRule type="expression" dxfId="2461" priority="615" stopIfTrue="1">
      <formula>AQ35="Land"</formula>
    </cfRule>
  </conditionalFormatting>
  <conditionalFormatting sqref="AG34:AP34">
    <cfRule type="expression" dxfId="2460" priority="610" stopIfTrue="1">
      <formula>AG34="Water"</formula>
    </cfRule>
    <cfRule type="expression" dxfId="2459" priority="611" stopIfTrue="1">
      <formula>AG34="Land"</formula>
    </cfRule>
  </conditionalFormatting>
  <conditionalFormatting sqref="AF45">
    <cfRule type="expression" dxfId="2458" priority="606" stopIfTrue="1">
      <formula>AF35="Water"</formula>
    </cfRule>
    <cfRule type="expression" dxfId="2457" priority="607" stopIfTrue="1">
      <formula>AG45="Water"</formula>
    </cfRule>
    <cfRule type="expression" dxfId="2456" priority="608" stopIfTrue="1">
      <formula>AG45="Land"</formula>
    </cfRule>
    <cfRule type="expression" dxfId="2455" priority="609" stopIfTrue="1">
      <formula>AF35="Land"</formula>
    </cfRule>
  </conditionalFormatting>
  <conditionalFormatting sqref="AF35:AF44">
    <cfRule type="expression" dxfId="2454" priority="604" stopIfTrue="1">
      <formula>AF35="Water"</formula>
    </cfRule>
    <cfRule type="expression" dxfId="2453" priority="605" stopIfTrue="1">
      <formula>AF35="Land"</formula>
    </cfRule>
  </conditionalFormatting>
  <conditionalFormatting sqref="AQ35:AQ44">
    <cfRule type="expression" dxfId="2452" priority="602" stopIfTrue="1">
      <formula>AQ35="Water"</formula>
    </cfRule>
    <cfRule type="expression" dxfId="2451" priority="603" stopIfTrue="1">
      <formula>AQ35="Land"</formula>
    </cfRule>
  </conditionalFormatting>
  <conditionalFormatting sqref="AQ34">
    <cfRule type="expression" dxfId="2450" priority="598" stopIfTrue="1">
      <formula>AQ35="Water"</formula>
    </cfRule>
    <cfRule type="expression" dxfId="2449" priority="599" stopIfTrue="1">
      <formula>AG34="Water"</formula>
    </cfRule>
    <cfRule type="expression" dxfId="2448" priority="600" stopIfTrue="1">
      <formula>AG34="Land"</formula>
    </cfRule>
    <cfRule type="expression" dxfId="2447" priority="601" stopIfTrue="1">
      <formula>AQ35="Land"</formula>
    </cfRule>
  </conditionalFormatting>
  <conditionalFormatting sqref="AF34">
    <cfRule type="expression" dxfId="2446" priority="594" stopIfTrue="1">
      <formula>AG34="Water"</formula>
    </cfRule>
    <cfRule type="expression" dxfId="2445" priority="595" stopIfTrue="1">
      <formula>AF35="Water"</formula>
    </cfRule>
    <cfRule type="expression" dxfId="2444" priority="596" stopIfTrue="1">
      <formula>AG34="Land"</formula>
    </cfRule>
    <cfRule type="expression" dxfId="2443" priority="597" stopIfTrue="1">
      <formula>AF35="Land"</formula>
    </cfRule>
  </conditionalFormatting>
  <conditionalFormatting sqref="AH36:AO43">
    <cfRule type="expression" dxfId="2442" priority="593">
      <formula>AH36&lt;&gt;""</formula>
    </cfRule>
  </conditionalFormatting>
  <conditionalFormatting sqref="H48:O48">
    <cfRule type="expression" dxfId="2441" priority="592">
      <formula>H48="City Wall"</formula>
    </cfRule>
  </conditionalFormatting>
  <conditionalFormatting sqref="H57:O57">
    <cfRule type="expression" dxfId="2440" priority="591">
      <formula>H57="City Wall"</formula>
    </cfRule>
  </conditionalFormatting>
  <conditionalFormatting sqref="G49:G56">
    <cfRule type="expression" dxfId="2439" priority="590">
      <formula>G49="City Wall"</formula>
    </cfRule>
  </conditionalFormatting>
  <conditionalFormatting sqref="P49:P56">
    <cfRule type="expression" dxfId="2438" priority="589">
      <formula>P49="City Wall"</formula>
    </cfRule>
  </conditionalFormatting>
  <conditionalFormatting sqref="G48">
    <cfRule type="expression" dxfId="2437" priority="587">
      <formula>G49="City Wall"</formula>
    </cfRule>
    <cfRule type="expression" dxfId="2436" priority="588">
      <formula>H48="City Wall"</formula>
    </cfRule>
  </conditionalFormatting>
  <conditionalFormatting sqref="P48">
    <cfRule type="expression" dxfId="2435" priority="585">
      <formula>P49="City Wall"</formula>
    </cfRule>
    <cfRule type="expression" dxfId="2434" priority="586">
      <formula>H48="City Wall"</formula>
    </cfRule>
  </conditionalFormatting>
  <conditionalFormatting sqref="P57">
    <cfRule type="expression" dxfId="2433" priority="583">
      <formula>H57="City Wall"</formula>
    </cfRule>
    <cfRule type="expression" dxfId="2432" priority="584">
      <formula>P49="City Wall"</formula>
    </cfRule>
  </conditionalFormatting>
  <conditionalFormatting sqref="G57">
    <cfRule type="expression" dxfId="2431" priority="581">
      <formula>G49="City Wall"</formula>
    </cfRule>
    <cfRule type="expression" dxfId="2430" priority="582">
      <formula>H57="City Wall"</formula>
    </cfRule>
  </conditionalFormatting>
  <conditionalFormatting sqref="G58:P58">
    <cfRule type="expression" dxfId="2429" priority="579">
      <formula>G58="Land"</formula>
    </cfRule>
    <cfRule type="expression" dxfId="2428" priority="580">
      <formula>G58="Water"</formula>
    </cfRule>
  </conditionalFormatting>
  <conditionalFormatting sqref="Q58">
    <cfRule type="expression" dxfId="2427" priority="575" stopIfTrue="1">
      <formula>Q48="Water"</formula>
    </cfRule>
    <cfRule type="expression" dxfId="2426" priority="576" stopIfTrue="1">
      <formula>G58="Water"</formula>
    </cfRule>
    <cfRule type="expression" dxfId="2425" priority="577" stopIfTrue="1">
      <formula>G58="Land"</formula>
    </cfRule>
    <cfRule type="expression" dxfId="2424" priority="578" stopIfTrue="1">
      <formula>Q48="Land"</formula>
    </cfRule>
  </conditionalFormatting>
  <conditionalFormatting sqref="G47:P47">
    <cfRule type="expression" dxfId="2423" priority="573" stopIfTrue="1">
      <formula>G47="Water"</formula>
    </cfRule>
    <cfRule type="expression" dxfId="2422" priority="574" stopIfTrue="1">
      <formula>G47="Land"</formula>
    </cfRule>
  </conditionalFormatting>
  <conditionalFormatting sqref="F58">
    <cfRule type="expression" dxfId="2421" priority="569" stopIfTrue="1">
      <formula>F48="Water"</formula>
    </cfRule>
    <cfRule type="expression" dxfId="2420" priority="570" stopIfTrue="1">
      <formula>G58="Water"</formula>
    </cfRule>
    <cfRule type="expression" dxfId="2419" priority="571" stopIfTrue="1">
      <formula>G58="Land"</formula>
    </cfRule>
    <cfRule type="expression" dxfId="2418" priority="572" stopIfTrue="1">
      <formula>F48="Land"</formula>
    </cfRule>
  </conditionalFormatting>
  <conditionalFormatting sqref="F48:F57">
    <cfRule type="expression" dxfId="2417" priority="567" stopIfTrue="1">
      <formula>F48="Water"</formula>
    </cfRule>
    <cfRule type="expression" dxfId="2416" priority="568" stopIfTrue="1">
      <formula>F48="Land"</formula>
    </cfRule>
  </conditionalFormatting>
  <conditionalFormatting sqref="Q48:Q57">
    <cfRule type="expression" dxfId="2415" priority="565" stopIfTrue="1">
      <formula>Q48="Water"</formula>
    </cfRule>
    <cfRule type="expression" dxfId="2414" priority="566" stopIfTrue="1">
      <formula>Q48="Land"</formula>
    </cfRule>
  </conditionalFormatting>
  <conditionalFormatting sqref="Q47">
    <cfRule type="expression" dxfId="2413" priority="561" stopIfTrue="1">
      <formula>Q48="Water"</formula>
    </cfRule>
    <cfRule type="expression" dxfId="2412" priority="562" stopIfTrue="1">
      <formula>G47="Water"</formula>
    </cfRule>
    <cfRule type="expression" dxfId="2411" priority="563" stopIfTrue="1">
      <formula>G47="Land"</formula>
    </cfRule>
    <cfRule type="expression" dxfId="2410" priority="564" stopIfTrue="1">
      <formula>Q48="Land"</formula>
    </cfRule>
  </conditionalFormatting>
  <conditionalFormatting sqref="F47">
    <cfRule type="expression" dxfId="2409" priority="557" stopIfTrue="1">
      <formula>G47="Water"</formula>
    </cfRule>
    <cfRule type="expression" dxfId="2408" priority="558" stopIfTrue="1">
      <formula>F48="Water"</formula>
    </cfRule>
    <cfRule type="expression" dxfId="2407" priority="559" stopIfTrue="1">
      <formula>G47="Land"</formula>
    </cfRule>
    <cfRule type="expression" dxfId="2406" priority="560" stopIfTrue="1">
      <formula>F48="Land"</formula>
    </cfRule>
  </conditionalFormatting>
  <conditionalFormatting sqref="H49:O56">
    <cfRule type="expression" dxfId="2405" priority="556">
      <formula>H49&lt;&gt;""</formula>
    </cfRule>
  </conditionalFormatting>
  <conditionalFormatting sqref="U48:AB48">
    <cfRule type="expression" dxfId="2404" priority="555">
      <formula>U48="City Wall"</formula>
    </cfRule>
  </conditionalFormatting>
  <conditionalFormatting sqref="U57:AB57">
    <cfRule type="expression" dxfId="2403" priority="554">
      <formula>U57="City Wall"</formula>
    </cfRule>
  </conditionalFormatting>
  <conditionalFormatting sqref="T49:T56">
    <cfRule type="expression" dxfId="2402" priority="553">
      <formula>T49="City Wall"</formula>
    </cfRule>
  </conditionalFormatting>
  <conditionalFormatting sqref="AC49:AC56">
    <cfRule type="expression" dxfId="2401" priority="552">
      <formula>AC49="City Wall"</formula>
    </cfRule>
  </conditionalFormatting>
  <conditionalFormatting sqref="T48">
    <cfRule type="expression" dxfId="2400" priority="550">
      <formula>T49="City Wall"</formula>
    </cfRule>
    <cfRule type="expression" dxfId="2399" priority="551">
      <formula>U48="City Wall"</formula>
    </cfRule>
  </conditionalFormatting>
  <conditionalFormatting sqref="AC48">
    <cfRule type="expression" dxfId="2398" priority="548">
      <formula>AC49="City Wall"</formula>
    </cfRule>
    <cfRule type="expression" dxfId="2397" priority="549">
      <formula>U48="City Wall"</formula>
    </cfRule>
  </conditionalFormatting>
  <conditionalFormatting sqref="AC57">
    <cfRule type="expression" dxfId="2396" priority="546">
      <formula>U57="City Wall"</formula>
    </cfRule>
    <cfRule type="expression" dxfId="2395" priority="547">
      <formula>AC49="City Wall"</formula>
    </cfRule>
  </conditionalFormatting>
  <conditionalFormatting sqref="T57">
    <cfRule type="expression" dxfId="2394" priority="544">
      <formula>T49="City Wall"</formula>
    </cfRule>
    <cfRule type="expression" dxfId="2393" priority="545">
      <formula>U57="City Wall"</formula>
    </cfRule>
  </conditionalFormatting>
  <conditionalFormatting sqref="T58:AC58">
    <cfRule type="expression" dxfId="2392" priority="542">
      <formula>T58="Land"</formula>
    </cfRule>
    <cfRule type="expression" dxfId="2391" priority="543">
      <formula>T58="Water"</formula>
    </cfRule>
  </conditionalFormatting>
  <conditionalFormatting sqref="AD58">
    <cfRule type="expression" dxfId="2390" priority="538" stopIfTrue="1">
      <formula>AD48="Water"</formula>
    </cfRule>
    <cfRule type="expression" dxfId="2389" priority="539" stopIfTrue="1">
      <formula>T58="Water"</formula>
    </cfRule>
    <cfRule type="expression" dxfId="2388" priority="540" stopIfTrue="1">
      <formula>T58="Land"</formula>
    </cfRule>
    <cfRule type="expression" dxfId="2387" priority="541" stopIfTrue="1">
      <formula>AD48="Land"</formula>
    </cfRule>
  </conditionalFormatting>
  <conditionalFormatting sqref="T47:AC47">
    <cfRule type="expression" dxfId="2386" priority="536" stopIfTrue="1">
      <formula>T47="Water"</formula>
    </cfRule>
    <cfRule type="expression" dxfId="2385" priority="537" stopIfTrue="1">
      <formula>T47="Land"</formula>
    </cfRule>
  </conditionalFormatting>
  <conditionalFormatting sqref="S58">
    <cfRule type="expression" dxfId="2384" priority="532" stopIfTrue="1">
      <formula>S48="Water"</formula>
    </cfRule>
    <cfRule type="expression" dxfId="2383" priority="533" stopIfTrue="1">
      <formula>T58="Water"</formula>
    </cfRule>
    <cfRule type="expression" dxfId="2382" priority="534" stopIfTrue="1">
      <formula>T58="Land"</formula>
    </cfRule>
    <cfRule type="expression" dxfId="2381" priority="535" stopIfTrue="1">
      <formula>S48="Land"</formula>
    </cfRule>
  </conditionalFormatting>
  <conditionalFormatting sqref="S48:S57">
    <cfRule type="expression" dxfId="2380" priority="530" stopIfTrue="1">
      <formula>S48="Water"</formula>
    </cfRule>
    <cfRule type="expression" dxfId="2379" priority="531" stopIfTrue="1">
      <formula>S48="Land"</formula>
    </cfRule>
  </conditionalFormatting>
  <conditionalFormatting sqref="AD48:AD57">
    <cfRule type="expression" dxfId="2378" priority="528" stopIfTrue="1">
      <formula>AD48="Water"</formula>
    </cfRule>
    <cfRule type="expression" dxfId="2377" priority="529" stopIfTrue="1">
      <formula>AD48="Land"</formula>
    </cfRule>
  </conditionalFormatting>
  <conditionalFormatting sqref="AD47">
    <cfRule type="expression" dxfId="2376" priority="524" stopIfTrue="1">
      <formula>AD48="Water"</formula>
    </cfRule>
    <cfRule type="expression" dxfId="2375" priority="525" stopIfTrue="1">
      <formula>T47="Water"</formula>
    </cfRule>
    <cfRule type="expression" dxfId="2374" priority="526" stopIfTrue="1">
      <formula>T47="Land"</formula>
    </cfRule>
    <cfRule type="expression" dxfId="2373" priority="527" stopIfTrue="1">
      <formula>AD48="Land"</formula>
    </cfRule>
  </conditionalFormatting>
  <conditionalFormatting sqref="S47">
    <cfRule type="expression" dxfId="2372" priority="520" stopIfTrue="1">
      <formula>T47="Water"</formula>
    </cfRule>
    <cfRule type="expression" dxfId="2371" priority="521" stopIfTrue="1">
      <formula>S48="Water"</formula>
    </cfRule>
    <cfRule type="expression" dxfId="2370" priority="522" stopIfTrue="1">
      <formula>T47="Land"</formula>
    </cfRule>
    <cfRule type="expression" dxfId="2369" priority="523" stopIfTrue="1">
      <formula>S48="Land"</formula>
    </cfRule>
  </conditionalFormatting>
  <conditionalFormatting sqref="U49:AB56">
    <cfRule type="expression" dxfId="2368" priority="519">
      <formula>U49&lt;&gt;""</formula>
    </cfRule>
  </conditionalFormatting>
  <conditionalFormatting sqref="AH48:AO48">
    <cfRule type="expression" dxfId="2367" priority="518">
      <formula>AH48="City Wall"</formula>
    </cfRule>
  </conditionalFormatting>
  <conditionalFormatting sqref="AH57:AO57">
    <cfRule type="expression" dxfId="2366" priority="517">
      <formula>AH57="City Wall"</formula>
    </cfRule>
  </conditionalFormatting>
  <conditionalFormatting sqref="AG49:AG56">
    <cfRule type="expression" dxfId="2365" priority="516">
      <formula>AG49="City Wall"</formula>
    </cfRule>
  </conditionalFormatting>
  <conditionalFormatting sqref="AP49:AP56">
    <cfRule type="expression" dxfId="2364" priority="515">
      <formula>AP49="City Wall"</formula>
    </cfRule>
  </conditionalFormatting>
  <conditionalFormatting sqref="AG48">
    <cfRule type="expression" dxfId="2363" priority="513">
      <formula>AG49="City Wall"</formula>
    </cfRule>
    <cfRule type="expression" dxfId="2362" priority="514">
      <formula>AH48="City Wall"</formula>
    </cfRule>
  </conditionalFormatting>
  <conditionalFormatting sqref="AP48">
    <cfRule type="expression" dxfId="2361" priority="511">
      <formula>AP49="City Wall"</formula>
    </cfRule>
    <cfRule type="expression" dxfId="2360" priority="512">
      <formula>AH48="City Wall"</formula>
    </cfRule>
  </conditionalFormatting>
  <conditionalFormatting sqref="AP57">
    <cfRule type="expression" dxfId="2359" priority="509">
      <formula>AH57="City Wall"</formula>
    </cfRule>
    <cfRule type="expression" dxfId="2358" priority="510">
      <formula>AP49="City Wall"</formula>
    </cfRule>
  </conditionalFormatting>
  <conditionalFormatting sqref="AG57">
    <cfRule type="expression" dxfId="2357" priority="507">
      <formula>AG49="City Wall"</formula>
    </cfRule>
    <cfRule type="expression" dxfId="2356" priority="508">
      <formula>AH57="City Wall"</formula>
    </cfRule>
  </conditionalFormatting>
  <conditionalFormatting sqref="AG58:AP58">
    <cfRule type="expression" dxfId="2355" priority="505">
      <formula>AG58="Land"</formula>
    </cfRule>
    <cfRule type="expression" dxfId="2354" priority="506">
      <formula>AG58="Water"</formula>
    </cfRule>
  </conditionalFormatting>
  <conditionalFormatting sqref="AQ58">
    <cfRule type="expression" dxfId="2353" priority="501" stopIfTrue="1">
      <formula>AQ48="Water"</formula>
    </cfRule>
    <cfRule type="expression" dxfId="2352" priority="502" stopIfTrue="1">
      <formula>AG58="Water"</formula>
    </cfRule>
    <cfRule type="expression" dxfId="2351" priority="503" stopIfTrue="1">
      <formula>AG58="Land"</formula>
    </cfRule>
    <cfRule type="expression" dxfId="2350" priority="504" stopIfTrue="1">
      <formula>AQ48="Land"</formula>
    </cfRule>
  </conditionalFormatting>
  <conditionalFormatting sqref="AG47:AP47">
    <cfRule type="expression" dxfId="2349" priority="499" stopIfTrue="1">
      <formula>AG47="Water"</formula>
    </cfRule>
    <cfRule type="expression" dxfId="2348" priority="500" stopIfTrue="1">
      <formula>AG47="Land"</formula>
    </cfRule>
  </conditionalFormatting>
  <conditionalFormatting sqref="AF58">
    <cfRule type="expression" dxfId="2347" priority="495" stopIfTrue="1">
      <formula>AF48="Water"</formula>
    </cfRule>
    <cfRule type="expression" dxfId="2346" priority="496" stopIfTrue="1">
      <formula>AG58="Water"</formula>
    </cfRule>
    <cfRule type="expression" dxfId="2345" priority="497" stopIfTrue="1">
      <formula>AG58="Land"</formula>
    </cfRule>
    <cfRule type="expression" dxfId="2344" priority="498" stopIfTrue="1">
      <formula>AF48="Land"</formula>
    </cfRule>
  </conditionalFormatting>
  <conditionalFormatting sqref="AF48:AF57">
    <cfRule type="expression" dxfId="2343" priority="493" stopIfTrue="1">
      <formula>AF48="Water"</formula>
    </cfRule>
    <cfRule type="expression" dxfId="2342" priority="494" stopIfTrue="1">
      <formula>AF48="Land"</formula>
    </cfRule>
  </conditionalFormatting>
  <conditionalFormatting sqref="AQ48:AQ57">
    <cfRule type="expression" dxfId="2341" priority="491" stopIfTrue="1">
      <formula>AQ48="Water"</formula>
    </cfRule>
    <cfRule type="expression" dxfId="2340" priority="492" stopIfTrue="1">
      <formula>AQ48="Land"</formula>
    </cfRule>
  </conditionalFormatting>
  <conditionalFormatting sqref="AQ47">
    <cfRule type="expression" dxfId="2339" priority="487" stopIfTrue="1">
      <formula>AQ48="Water"</formula>
    </cfRule>
    <cfRule type="expression" dxfId="2338" priority="488" stopIfTrue="1">
      <formula>AG47="Water"</formula>
    </cfRule>
    <cfRule type="expression" dxfId="2337" priority="489" stopIfTrue="1">
      <formula>AG47="Land"</formula>
    </cfRule>
    <cfRule type="expression" dxfId="2336" priority="490" stopIfTrue="1">
      <formula>AQ48="Land"</formula>
    </cfRule>
  </conditionalFormatting>
  <conditionalFormatting sqref="AF47">
    <cfRule type="expression" dxfId="2335" priority="483" stopIfTrue="1">
      <formula>AG47="Water"</formula>
    </cfRule>
    <cfRule type="expression" dxfId="2334" priority="484" stopIfTrue="1">
      <formula>AF48="Water"</formula>
    </cfRule>
    <cfRule type="expression" dxfId="2333" priority="485" stopIfTrue="1">
      <formula>AG47="Land"</formula>
    </cfRule>
    <cfRule type="expression" dxfId="2332" priority="486" stopIfTrue="1">
      <formula>AF48="Land"</formula>
    </cfRule>
  </conditionalFormatting>
  <conditionalFormatting sqref="AH49:AO56">
    <cfRule type="expression" dxfId="2331" priority="482">
      <formula>AH49&lt;&gt;""</formula>
    </cfRule>
  </conditionalFormatting>
  <conditionalFormatting sqref="AU9:BB9">
    <cfRule type="expression" dxfId="2330" priority="481">
      <formula>AU9="City Wall"</formula>
    </cfRule>
  </conditionalFormatting>
  <conditionalFormatting sqref="AU18:BB18">
    <cfRule type="expression" dxfId="2329" priority="480">
      <formula>AU18="City Wall"</formula>
    </cfRule>
  </conditionalFormatting>
  <conditionalFormatting sqref="AT10:AT17">
    <cfRule type="expression" dxfId="2328" priority="479">
      <formula>AT10="City Wall"</formula>
    </cfRule>
  </conditionalFormatting>
  <conditionalFormatting sqref="BC10:BC17">
    <cfRule type="expression" dxfId="2327" priority="478">
      <formula>BC10="City Wall"</formula>
    </cfRule>
  </conditionalFormatting>
  <conditionalFormatting sqref="AT9">
    <cfRule type="expression" dxfId="2326" priority="476">
      <formula>AT10="City Wall"</formula>
    </cfRule>
    <cfRule type="expression" dxfId="2325" priority="477">
      <formula>AU9="City Wall"</formula>
    </cfRule>
  </conditionalFormatting>
  <conditionalFormatting sqref="BC9">
    <cfRule type="expression" dxfId="2324" priority="474">
      <formula>BC10="City Wall"</formula>
    </cfRule>
    <cfRule type="expression" dxfId="2323" priority="475">
      <formula>AU9="City Wall"</formula>
    </cfRule>
  </conditionalFormatting>
  <conditionalFormatting sqref="BC18">
    <cfRule type="expression" dxfId="2322" priority="472">
      <formula>AU18="City Wall"</formula>
    </cfRule>
    <cfRule type="expression" dxfId="2321" priority="473">
      <formula>BC10="City Wall"</formula>
    </cfRule>
  </conditionalFormatting>
  <conditionalFormatting sqref="AT18">
    <cfRule type="expression" dxfId="2320" priority="470">
      <formula>AT10="City Wall"</formula>
    </cfRule>
    <cfRule type="expression" dxfId="2319" priority="471">
      <formula>AU18="City Wall"</formula>
    </cfRule>
  </conditionalFormatting>
  <conditionalFormatting sqref="AT19:BC19">
    <cfRule type="expression" dxfId="2318" priority="468">
      <formula>AT19="Land"</formula>
    </cfRule>
    <cfRule type="expression" dxfId="2317" priority="469">
      <formula>AT19="Water"</formula>
    </cfRule>
  </conditionalFormatting>
  <conditionalFormatting sqref="BD19">
    <cfRule type="expression" dxfId="2316" priority="464" stopIfTrue="1">
      <formula>BD9="Water"</formula>
    </cfRule>
    <cfRule type="expression" dxfId="2315" priority="465" stopIfTrue="1">
      <formula>AT19="Water"</formula>
    </cfRule>
    <cfRule type="expression" dxfId="2314" priority="466" stopIfTrue="1">
      <formula>AT19="Land"</formula>
    </cfRule>
    <cfRule type="expression" dxfId="2313" priority="467" stopIfTrue="1">
      <formula>BD9="Land"</formula>
    </cfRule>
  </conditionalFormatting>
  <conditionalFormatting sqref="AT8:BC8">
    <cfRule type="expression" dxfId="2312" priority="462" stopIfTrue="1">
      <formula>AT8="Water"</formula>
    </cfRule>
    <cfRule type="expression" dxfId="2311" priority="463" stopIfTrue="1">
      <formula>AT8="Land"</formula>
    </cfRule>
  </conditionalFormatting>
  <conditionalFormatting sqref="AS19">
    <cfRule type="expression" dxfId="2310" priority="458" stopIfTrue="1">
      <formula>AS9="Water"</formula>
    </cfRule>
    <cfRule type="expression" dxfId="2309" priority="459" stopIfTrue="1">
      <formula>AT19="Water"</formula>
    </cfRule>
    <cfRule type="expression" dxfId="2308" priority="460" stopIfTrue="1">
      <formula>AT19="Land"</formula>
    </cfRule>
    <cfRule type="expression" dxfId="2307" priority="461" stopIfTrue="1">
      <formula>AS9="Land"</formula>
    </cfRule>
  </conditionalFormatting>
  <conditionalFormatting sqref="AS9:AS18">
    <cfRule type="expression" dxfId="2306" priority="456" stopIfTrue="1">
      <formula>AS9="Water"</formula>
    </cfRule>
    <cfRule type="expression" dxfId="2305" priority="457" stopIfTrue="1">
      <formula>AS9="Land"</formula>
    </cfRule>
  </conditionalFormatting>
  <conditionalFormatting sqref="BD9:BD18">
    <cfRule type="expression" dxfId="2304" priority="454" stopIfTrue="1">
      <formula>BD9="Water"</formula>
    </cfRule>
    <cfRule type="expression" dxfId="2303" priority="455" stopIfTrue="1">
      <formula>BD9="Land"</formula>
    </cfRule>
  </conditionalFormatting>
  <conditionalFormatting sqref="BD8">
    <cfRule type="expression" dxfId="2302" priority="450" stopIfTrue="1">
      <formula>BD9="Water"</formula>
    </cfRule>
    <cfRule type="expression" dxfId="2301" priority="451" stopIfTrue="1">
      <formula>AT8="Water"</formula>
    </cfRule>
    <cfRule type="expression" dxfId="2300" priority="452" stopIfTrue="1">
      <formula>AT8="Land"</formula>
    </cfRule>
    <cfRule type="expression" dxfId="2299" priority="453" stopIfTrue="1">
      <formula>BD9="Land"</formula>
    </cfRule>
  </conditionalFormatting>
  <conditionalFormatting sqref="AS8">
    <cfRule type="expression" dxfId="2298" priority="446" stopIfTrue="1">
      <formula>AT8="Water"</formula>
    </cfRule>
    <cfRule type="expression" dxfId="2297" priority="447" stopIfTrue="1">
      <formula>AS9="Water"</formula>
    </cfRule>
    <cfRule type="expression" dxfId="2296" priority="448" stopIfTrue="1">
      <formula>AT8="Land"</formula>
    </cfRule>
    <cfRule type="expression" dxfId="2295" priority="449" stopIfTrue="1">
      <formula>AS9="Land"</formula>
    </cfRule>
  </conditionalFormatting>
  <conditionalFormatting sqref="AU10:BB17">
    <cfRule type="expression" dxfId="2294" priority="445">
      <formula>AU10&lt;&gt;""</formula>
    </cfRule>
  </conditionalFormatting>
  <conditionalFormatting sqref="AU22:BB22">
    <cfRule type="expression" dxfId="2293" priority="444">
      <formula>AU22="City Wall"</formula>
    </cfRule>
  </conditionalFormatting>
  <conditionalFormatting sqref="AU31:BB31">
    <cfRule type="expression" dxfId="2292" priority="443">
      <formula>AU31="City Wall"</formula>
    </cfRule>
  </conditionalFormatting>
  <conditionalFormatting sqref="AT23:AT30">
    <cfRule type="expression" dxfId="2291" priority="442">
      <formula>AT23="City Wall"</formula>
    </cfRule>
  </conditionalFormatting>
  <conditionalFormatting sqref="BC23:BC30">
    <cfRule type="expression" dxfId="2290" priority="441">
      <formula>BC23="City Wall"</formula>
    </cfRule>
  </conditionalFormatting>
  <conditionalFormatting sqref="AT22">
    <cfRule type="expression" dxfId="2289" priority="439">
      <formula>AT23="City Wall"</formula>
    </cfRule>
    <cfRule type="expression" dxfId="2288" priority="440">
      <formula>AU22="City Wall"</formula>
    </cfRule>
  </conditionalFormatting>
  <conditionalFormatting sqref="BC22">
    <cfRule type="expression" dxfId="2287" priority="437">
      <formula>BC23="City Wall"</formula>
    </cfRule>
    <cfRule type="expression" dxfId="2286" priority="438">
      <formula>AU22="City Wall"</formula>
    </cfRule>
  </conditionalFormatting>
  <conditionalFormatting sqref="BC31">
    <cfRule type="expression" dxfId="2285" priority="435">
      <formula>AU31="City Wall"</formula>
    </cfRule>
    <cfRule type="expression" dxfId="2284" priority="436">
      <formula>BC23="City Wall"</formula>
    </cfRule>
  </conditionalFormatting>
  <conditionalFormatting sqref="AT31">
    <cfRule type="expression" dxfId="2283" priority="433">
      <formula>AT23="City Wall"</formula>
    </cfRule>
    <cfRule type="expression" dxfId="2282" priority="434">
      <formula>AU31="City Wall"</formula>
    </cfRule>
  </conditionalFormatting>
  <conditionalFormatting sqref="AT32:BC32">
    <cfRule type="expression" dxfId="2281" priority="431">
      <formula>AT32="Land"</formula>
    </cfRule>
    <cfRule type="expression" dxfId="2280" priority="432">
      <formula>AT32="Water"</formula>
    </cfRule>
  </conditionalFormatting>
  <conditionalFormatting sqref="BD32">
    <cfRule type="expression" dxfId="2279" priority="427" stopIfTrue="1">
      <formula>BD22="Water"</formula>
    </cfRule>
    <cfRule type="expression" dxfId="2278" priority="428" stopIfTrue="1">
      <formula>AT32="Water"</formula>
    </cfRule>
    <cfRule type="expression" dxfId="2277" priority="429" stopIfTrue="1">
      <formula>AT32="Land"</formula>
    </cfRule>
    <cfRule type="expression" dxfId="2276" priority="430" stopIfTrue="1">
      <formula>BD22="Land"</formula>
    </cfRule>
  </conditionalFormatting>
  <conditionalFormatting sqref="AT21:BC21">
    <cfRule type="expression" dxfId="2275" priority="425" stopIfTrue="1">
      <formula>AT21="Water"</formula>
    </cfRule>
    <cfRule type="expression" dxfId="2274" priority="426" stopIfTrue="1">
      <formula>AT21="Land"</formula>
    </cfRule>
  </conditionalFormatting>
  <conditionalFormatting sqref="AS32">
    <cfRule type="expression" dxfId="2273" priority="421" stopIfTrue="1">
      <formula>AS22="Water"</formula>
    </cfRule>
    <cfRule type="expression" dxfId="2272" priority="422" stopIfTrue="1">
      <formula>AT32="Water"</formula>
    </cfRule>
    <cfRule type="expression" dxfId="2271" priority="423" stopIfTrue="1">
      <formula>AT32="Land"</formula>
    </cfRule>
    <cfRule type="expression" dxfId="2270" priority="424" stopIfTrue="1">
      <formula>AS22="Land"</formula>
    </cfRule>
  </conditionalFormatting>
  <conditionalFormatting sqref="AS22:AS31">
    <cfRule type="expression" dxfId="2269" priority="419" stopIfTrue="1">
      <formula>AS22="Water"</formula>
    </cfRule>
    <cfRule type="expression" dxfId="2268" priority="420" stopIfTrue="1">
      <formula>AS22="Land"</formula>
    </cfRule>
  </conditionalFormatting>
  <conditionalFormatting sqref="BD22:BD31">
    <cfRule type="expression" dxfId="2267" priority="417" stopIfTrue="1">
      <formula>BD22="Water"</formula>
    </cfRule>
    <cfRule type="expression" dxfId="2266" priority="418" stopIfTrue="1">
      <formula>BD22="Land"</formula>
    </cfRule>
  </conditionalFormatting>
  <conditionalFormatting sqref="BD21">
    <cfRule type="expression" dxfId="2265" priority="413" stopIfTrue="1">
      <formula>BD22="Water"</formula>
    </cfRule>
    <cfRule type="expression" dxfId="2264" priority="414" stopIfTrue="1">
      <formula>AT21="Water"</formula>
    </cfRule>
    <cfRule type="expression" dxfId="2263" priority="415" stopIfTrue="1">
      <formula>AT21="Land"</formula>
    </cfRule>
    <cfRule type="expression" dxfId="2262" priority="416" stopIfTrue="1">
      <formula>BD22="Land"</formula>
    </cfRule>
  </conditionalFormatting>
  <conditionalFormatting sqref="AS21">
    <cfRule type="expression" dxfId="2261" priority="409" stopIfTrue="1">
      <formula>AT21="Water"</formula>
    </cfRule>
    <cfRule type="expression" dxfId="2260" priority="410" stopIfTrue="1">
      <formula>AS22="Water"</formula>
    </cfRule>
    <cfRule type="expression" dxfId="2259" priority="411" stopIfTrue="1">
      <formula>AT21="Land"</formula>
    </cfRule>
    <cfRule type="expression" dxfId="2258" priority="412" stopIfTrue="1">
      <formula>AS22="Land"</formula>
    </cfRule>
  </conditionalFormatting>
  <conditionalFormatting sqref="AU23:BB30">
    <cfRule type="expression" dxfId="2257" priority="408">
      <formula>AU23&lt;&gt;""</formula>
    </cfRule>
  </conditionalFormatting>
  <conditionalFormatting sqref="AU35:BB35">
    <cfRule type="expression" dxfId="2256" priority="407">
      <formula>AU35="City Wall"</formula>
    </cfRule>
  </conditionalFormatting>
  <conditionalFormatting sqref="AU44:BB44">
    <cfRule type="expression" dxfId="2255" priority="406">
      <formula>AU44="City Wall"</formula>
    </cfRule>
  </conditionalFormatting>
  <conditionalFormatting sqref="AT36:AT43">
    <cfRule type="expression" dxfId="2254" priority="405">
      <formula>AT36="City Wall"</formula>
    </cfRule>
  </conditionalFormatting>
  <conditionalFormatting sqref="BC36:BC43">
    <cfRule type="expression" dxfId="2253" priority="404">
      <formula>BC36="City Wall"</formula>
    </cfRule>
  </conditionalFormatting>
  <conditionalFormatting sqref="AT35">
    <cfRule type="expression" dxfId="2252" priority="402">
      <formula>AT36="City Wall"</formula>
    </cfRule>
    <cfRule type="expression" dxfId="2251" priority="403">
      <formula>AU35="City Wall"</formula>
    </cfRule>
  </conditionalFormatting>
  <conditionalFormatting sqref="BC35">
    <cfRule type="expression" dxfId="2250" priority="400">
      <formula>BC36="City Wall"</formula>
    </cfRule>
    <cfRule type="expression" dxfId="2249" priority="401">
      <formula>AU35="City Wall"</formula>
    </cfRule>
  </conditionalFormatting>
  <conditionalFormatting sqref="BC44">
    <cfRule type="expression" dxfId="2248" priority="398">
      <formula>AU44="City Wall"</formula>
    </cfRule>
    <cfRule type="expression" dxfId="2247" priority="399">
      <formula>BC36="City Wall"</formula>
    </cfRule>
  </conditionalFormatting>
  <conditionalFormatting sqref="AT44">
    <cfRule type="expression" dxfId="2246" priority="396">
      <formula>AT36="City Wall"</formula>
    </cfRule>
    <cfRule type="expression" dxfId="2245" priority="397">
      <formula>AU44="City Wall"</formula>
    </cfRule>
  </conditionalFormatting>
  <conditionalFormatting sqref="AT45:BC45">
    <cfRule type="expression" dxfId="2244" priority="394">
      <formula>AT45="Land"</formula>
    </cfRule>
    <cfRule type="expression" dxfId="2243" priority="395">
      <formula>AT45="Water"</formula>
    </cfRule>
  </conditionalFormatting>
  <conditionalFormatting sqref="BD45">
    <cfRule type="expression" dxfId="2242" priority="390" stopIfTrue="1">
      <formula>BD35="Water"</formula>
    </cfRule>
    <cfRule type="expression" dxfId="2241" priority="391" stopIfTrue="1">
      <formula>AT45="Water"</formula>
    </cfRule>
    <cfRule type="expression" dxfId="2240" priority="392" stopIfTrue="1">
      <formula>AT45="Land"</formula>
    </cfRule>
    <cfRule type="expression" dxfId="2239" priority="393" stopIfTrue="1">
      <formula>BD35="Land"</formula>
    </cfRule>
  </conditionalFormatting>
  <conditionalFormatting sqref="AT34:BC34">
    <cfRule type="expression" dxfId="2238" priority="388" stopIfTrue="1">
      <formula>AT34="Water"</formula>
    </cfRule>
    <cfRule type="expression" dxfId="2237" priority="389" stopIfTrue="1">
      <formula>AT34="Land"</formula>
    </cfRule>
  </conditionalFormatting>
  <conditionalFormatting sqref="AS45">
    <cfRule type="expression" dxfId="2236" priority="384" stopIfTrue="1">
      <formula>AS35="Water"</formula>
    </cfRule>
    <cfRule type="expression" dxfId="2235" priority="385" stopIfTrue="1">
      <formula>AT45="Water"</formula>
    </cfRule>
    <cfRule type="expression" dxfId="2234" priority="386" stopIfTrue="1">
      <formula>AT45="Land"</formula>
    </cfRule>
    <cfRule type="expression" dxfId="2233" priority="387" stopIfTrue="1">
      <formula>AS35="Land"</formula>
    </cfRule>
  </conditionalFormatting>
  <conditionalFormatting sqref="AS35:AS44">
    <cfRule type="expression" dxfId="2232" priority="382" stopIfTrue="1">
      <formula>AS35="Water"</formula>
    </cfRule>
    <cfRule type="expression" dxfId="2231" priority="383" stopIfTrue="1">
      <formula>AS35="Land"</formula>
    </cfRule>
  </conditionalFormatting>
  <conditionalFormatting sqref="BD35:BD44">
    <cfRule type="expression" dxfId="2230" priority="380" stopIfTrue="1">
      <formula>BD35="Water"</formula>
    </cfRule>
    <cfRule type="expression" dxfId="2229" priority="381" stopIfTrue="1">
      <formula>BD35="Land"</formula>
    </cfRule>
  </conditionalFormatting>
  <conditionalFormatting sqref="BD34">
    <cfRule type="expression" dxfId="2228" priority="376" stopIfTrue="1">
      <formula>BD35="Water"</formula>
    </cfRule>
    <cfRule type="expression" dxfId="2227" priority="377" stopIfTrue="1">
      <formula>AT34="Water"</formula>
    </cfRule>
    <cfRule type="expression" dxfId="2226" priority="378" stopIfTrue="1">
      <formula>AT34="Land"</formula>
    </cfRule>
    <cfRule type="expression" dxfId="2225" priority="379" stopIfTrue="1">
      <formula>BD35="Land"</formula>
    </cfRule>
  </conditionalFormatting>
  <conditionalFormatting sqref="AS34">
    <cfRule type="expression" dxfId="2224" priority="372" stopIfTrue="1">
      <formula>AT34="Water"</formula>
    </cfRule>
    <cfRule type="expression" dxfId="2223" priority="373" stopIfTrue="1">
      <formula>AS35="Water"</formula>
    </cfRule>
    <cfRule type="expression" dxfId="2222" priority="374" stopIfTrue="1">
      <formula>AT34="Land"</formula>
    </cfRule>
    <cfRule type="expression" dxfId="2221" priority="375" stopIfTrue="1">
      <formula>AS35="Land"</formula>
    </cfRule>
  </conditionalFormatting>
  <conditionalFormatting sqref="AU36:BB43">
    <cfRule type="expression" dxfId="2220" priority="371">
      <formula>AU36&lt;&gt;""</formula>
    </cfRule>
  </conditionalFormatting>
  <conditionalFormatting sqref="AU48:BB48">
    <cfRule type="expression" dxfId="2219" priority="370">
      <formula>AU48="City Wall"</formula>
    </cfRule>
  </conditionalFormatting>
  <conditionalFormatting sqref="AU57:BB57">
    <cfRule type="expression" dxfId="2218" priority="369">
      <formula>AU57="City Wall"</formula>
    </cfRule>
  </conditionalFormatting>
  <conditionalFormatting sqref="AT49:AT56">
    <cfRule type="expression" dxfId="2217" priority="368">
      <formula>AT49="City Wall"</formula>
    </cfRule>
  </conditionalFormatting>
  <conditionalFormatting sqref="BC49:BC56">
    <cfRule type="expression" dxfId="2216" priority="367">
      <formula>BC49="City Wall"</formula>
    </cfRule>
  </conditionalFormatting>
  <conditionalFormatting sqref="AT48">
    <cfRule type="expression" dxfId="2215" priority="365">
      <formula>AT49="City Wall"</formula>
    </cfRule>
    <cfRule type="expression" dxfId="2214" priority="366">
      <formula>AU48="City Wall"</formula>
    </cfRule>
  </conditionalFormatting>
  <conditionalFormatting sqref="BC48">
    <cfRule type="expression" dxfId="2213" priority="363">
      <formula>BC49="City Wall"</formula>
    </cfRule>
    <cfRule type="expression" dxfId="2212" priority="364">
      <formula>AU48="City Wall"</formula>
    </cfRule>
  </conditionalFormatting>
  <conditionalFormatting sqref="BC57">
    <cfRule type="expression" dxfId="2211" priority="361">
      <formula>AU57="City Wall"</formula>
    </cfRule>
    <cfRule type="expression" dxfId="2210" priority="362">
      <formula>BC49="City Wall"</formula>
    </cfRule>
  </conditionalFormatting>
  <conditionalFormatting sqref="AT57">
    <cfRule type="expression" dxfId="2209" priority="359">
      <formula>AT49="City Wall"</formula>
    </cfRule>
    <cfRule type="expression" dxfId="2208" priority="360">
      <formula>AU57="City Wall"</formula>
    </cfRule>
  </conditionalFormatting>
  <conditionalFormatting sqref="AT58:BC58">
    <cfRule type="expression" dxfId="2207" priority="357">
      <formula>AT58="Land"</formula>
    </cfRule>
    <cfRule type="expression" dxfId="2206" priority="358">
      <formula>AT58="Water"</formula>
    </cfRule>
  </conditionalFormatting>
  <conditionalFormatting sqref="BD58">
    <cfRule type="expression" dxfId="2205" priority="353" stopIfTrue="1">
      <formula>BD48="Water"</formula>
    </cfRule>
    <cfRule type="expression" dxfId="2204" priority="354" stopIfTrue="1">
      <formula>AT58="Water"</formula>
    </cfRule>
    <cfRule type="expression" dxfId="2203" priority="355" stopIfTrue="1">
      <formula>AT58="Land"</formula>
    </cfRule>
    <cfRule type="expression" dxfId="2202" priority="356" stopIfTrue="1">
      <formula>BD48="Land"</formula>
    </cfRule>
  </conditionalFormatting>
  <conditionalFormatting sqref="AT47:BC47">
    <cfRule type="expression" dxfId="2201" priority="351" stopIfTrue="1">
      <formula>AT47="Water"</formula>
    </cfRule>
    <cfRule type="expression" dxfId="2200" priority="352" stopIfTrue="1">
      <formula>AT47="Land"</formula>
    </cfRule>
  </conditionalFormatting>
  <conditionalFormatting sqref="AS58">
    <cfRule type="expression" dxfId="2199" priority="347" stopIfTrue="1">
      <formula>AS48="Water"</formula>
    </cfRule>
    <cfRule type="expression" dxfId="2198" priority="348" stopIfTrue="1">
      <formula>AT58="Water"</formula>
    </cfRule>
    <cfRule type="expression" dxfId="2197" priority="349" stopIfTrue="1">
      <formula>AT58="Land"</formula>
    </cfRule>
    <cfRule type="expression" dxfId="2196" priority="350" stopIfTrue="1">
      <formula>AS48="Land"</formula>
    </cfRule>
  </conditionalFormatting>
  <conditionalFormatting sqref="AS48:AS57">
    <cfRule type="expression" dxfId="2195" priority="345" stopIfTrue="1">
      <formula>AS48="Water"</formula>
    </cfRule>
    <cfRule type="expression" dxfId="2194" priority="346" stopIfTrue="1">
      <formula>AS48="Land"</formula>
    </cfRule>
  </conditionalFormatting>
  <conditionalFormatting sqref="BD48:BD57">
    <cfRule type="expression" dxfId="2193" priority="343" stopIfTrue="1">
      <formula>BD48="Water"</formula>
    </cfRule>
    <cfRule type="expression" dxfId="2192" priority="344" stopIfTrue="1">
      <formula>BD48="Land"</formula>
    </cfRule>
  </conditionalFormatting>
  <conditionalFormatting sqref="BD47">
    <cfRule type="expression" dxfId="2191" priority="339" stopIfTrue="1">
      <formula>BD48="Water"</formula>
    </cfRule>
    <cfRule type="expression" dxfId="2190" priority="340" stopIfTrue="1">
      <formula>AT47="Water"</formula>
    </cfRule>
    <cfRule type="expression" dxfId="2189" priority="341" stopIfTrue="1">
      <formula>AT47="Land"</formula>
    </cfRule>
    <cfRule type="expression" dxfId="2188" priority="342" stopIfTrue="1">
      <formula>BD48="Land"</formula>
    </cfRule>
  </conditionalFormatting>
  <conditionalFormatting sqref="AS47">
    <cfRule type="expression" dxfId="2187" priority="335" stopIfTrue="1">
      <formula>AT47="Water"</formula>
    </cfRule>
    <cfRule type="expression" dxfId="2186" priority="336" stopIfTrue="1">
      <formula>AS48="Water"</formula>
    </cfRule>
    <cfRule type="expression" dxfId="2185" priority="337" stopIfTrue="1">
      <formula>AT47="Land"</formula>
    </cfRule>
    <cfRule type="expression" dxfId="2184" priority="338" stopIfTrue="1">
      <formula>AS48="Land"</formula>
    </cfRule>
  </conditionalFormatting>
  <conditionalFormatting sqref="AU49:BB56">
    <cfRule type="expression" dxfId="2183" priority="334">
      <formula>AU49&lt;&gt;""</formula>
    </cfRule>
  </conditionalFormatting>
  <conditionalFormatting sqref="H61:O61">
    <cfRule type="expression" dxfId="2182" priority="333">
      <formula>H61="City Wall"</formula>
    </cfRule>
  </conditionalFormatting>
  <conditionalFormatting sqref="H70:O70">
    <cfRule type="expression" dxfId="2181" priority="332">
      <formula>H70="City Wall"</formula>
    </cfRule>
  </conditionalFormatting>
  <conditionalFormatting sqref="G62:G69">
    <cfRule type="expression" dxfId="2180" priority="331">
      <formula>G62="City Wall"</formula>
    </cfRule>
  </conditionalFormatting>
  <conditionalFormatting sqref="P62:P69">
    <cfRule type="expression" dxfId="2179" priority="330">
      <formula>P62="City Wall"</formula>
    </cfRule>
  </conditionalFormatting>
  <conditionalFormatting sqref="G61">
    <cfRule type="expression" dxfId="2178" priority="328">
      <formula>G62="City Wall"</formula>
    </cfRule>
    <cfRule type="expression" dxfId="2177" priority="329">
      <formula>H61="City Wall"</formula>
    </cfRule>
  </conditionalFormatting>
  <conditionalFormatting sqref="P61">
    <cfRule type="expression" dxfId="2176" priority="326">
      <formula>P62="City Wall"</formula>
    </cfRule>
    <cfRule type="expression" dxfId="2175" priority="327">
      <formula>H61="City Wall"</formula>
    </cfRule>
  </conditionalFormatting>
  <conditionalFormatting sqref="P70">
    <cfRule type="expression" dxfId="2174" priority="324">
      <formula>H70="City Wall"</formula>
    </cfRule>
    <cfRule type="expression" dxfId="2173" priority="325">
      <formula>P62="City Wall"</formula>
    </cfRule>
  </conditionalFormatting>
  <conditionalFormatting sqref="G70">
    <cfRule type="expression" dxfId="2172" priority="322">
      <formula>G62="City Wall"</formula>
    </cfRule>
    <cfRule type="expression" dxfId="2171" priority="323">
      <formula>H70="City Wall"</formula>
    </cfRule>
  </conditionalFormatting>
  <conditionalFormatting sqref="G71:P71">
    <cfRule type="expression" dxfId="2170" priority="320">
      <formula>G71="Land"</formula>
    </cfRule>
    <cfRule type="expression" dxfId="2169" priority="321">
      <formula>G71="Water"</formula>
    </cfRule>
  </conditionalFormatting>
  <conditionalFormatting sqref="Q71">
    <cfRule type="expression" dxfId="2168" priority="316" stopIfTrue="1">
      <formula>Q61="Water"</formula>
    </cfRule>
    <cfRule type="expression" dxfId="2167" priority="317" stopIfTrue="1">
      <formula>G71="Water"</formula>
    </cfRule>
    <cfRule type="expression" dxfId="2166" priority="318" stopIfTrue="1">
      <formula>G71="Land"</formula>
    </cfRule>
    <cfRule type="expression" dxfId="2165" priority="319" stopIfTrue="1">
      <formula>Q61="Land"</formula>
    </cfRule>
  </conditionalFormatting>
  <conditionalFormatting sqref="G60:P60">
    <cfRule type="expression" dxfId="2164" priority="314" stopIfTrue="1">
      <formula>G60="Water"</formula>
    </cfRule>
    <cfRule type="expression" dxfId="2163" priority="315" stopIfTrue="1">
      <formula>G60="Land"</formula>
    </cfRule>
  </conditionalFormatting>
  <conditionalFormatting sqref="F71">
    <cfRule type="expression" dxfId="2162" priority="310" stopIfTrue="1">
      <formula>F61="Water"</formula>
    </cfRule>
    <cfRule type="expression" dxfId="2161" priority="311" stopIfTrue="1">
      <formula>G71="Water"</formula>
    </cfRule>
    <cfRule type="expression" dxfId="2160" priority="312" stopIfTrue="1">
      <formula>G71="Land"</formula>
    </cfRule>
    <cfRule type="expression" dxfId="2159" priority="313" stopIfTrue="1">
      <formula>F61="Land"</formula>
    </cfRule>
  </conditionalFormatting>
  <conditionalFormatting sqref="F61:F70">
    <cfRule type="expression" dxfId="2158" priority="308" stopIfTrue="1">
      <formula>F61="Water"</formula>
    </cfRule>
    <cfRule type="expression" dxfId="2157" priority="309" stopIfTrue="1">
      <formula>F61="Land"</formula>
    </cfRule>
  </conditionalFormatting>
  <conditionalFormatting sqref="Q61:Q70">
    <cfRule type="expression" dxfId="2156" priority="306" stopIfTrue="1">
      <formula>Q61="Water"</formula>
    </cfRule>
    <cfRule type="expression" dxfId="2155" priority="307" stopIfTrue="1">
      <formula>Q61="Land"</formula>
    </cfRule>
  </conditionalFormatting>
  <conditionalFormatting sqref="Q60">
    <cfRule type="expression" dxfId="2154" priority="302" stopIfTrue="1">
      <formula>Q61="Water"</formula>
    </cfRule>
    <cfRule type="expression" dxfId="2153" priority="303" stopIfTrue="1">
      <formula>G60="Water"</formula>
    </cfRule>
    <cfRule type="expression" dxfId="2152" priority="304" stopIfTrue="1">
      <formula>G60="Land"</formula>
    </cfRule>
    <cfRule type="expression" dxfId="2151" priority="305" stopIfTrue="1">
      <formula>Q61="Land"</formula>
    </cfRule>
  </conditionalFormatting>
  <conditionalFormatting sqref="F60">
    <cfRule type="expression" dxfId="2150" priority="298" stopIfTrue="1">
      <formula>G60="Water"</formula>
    </cfRule>
    <cfRule type="expression" dxfId="2149" priority="299" stopIfTrue="1">
      <formula>F61="Water"</formula>
    </cfRule>
    <cfRule type="expression" dxfId="2148" priority="300" stopIfTrue="1">
      <formula>G60="Land"</formula>
    </cfRule>
    <cfRule type="expression" dxfId="2147" priority="301" stopIfTrue="1">
      <formula>F61="Land"</formula>
    </cfRule>
  </conditionalFormatting>
  <conditionalFormatting sqref="H62:O69">
    <cfRule type="expression" dxfId="2146" priority="297">
      <formula>H62&lt;&gt;""</formula>
    </cfRule>
  </conditionalFormatting>
  <conditionalFormatting sqref="U61:AB61">
    <cfRule type="expression" dxfId="2145" priority="296">
      <formula>U61="City Wall"</formula>
    </cfRule>
  </conditionalFormatting>
  <conditionalFormatting sqref="U70:AB70">
    <cfRule type="expression" dxfId="2144" priority="295">
      <formula>U70="City Wall"</formula>
    </cfRule>
  </conditionalFormatting>
  <conditionalFormatting sqref="T62:T69">
    <cfRule type="expression" dxfId="2143" priority="294">
      <formula>T62="City Wall"</formula>
    </cfRule>
  </conditionalFormatting>
  <conditionalFormatting sqref="AC62:AC69">
    <cfRule type="expression" dxfId="2142" priority="293">
      <formula>AC62="City Wall"</formula>
    </cfRule>
  </conditionalFormatting>
  <conditionalFormatting sqref="T61">
    <cfRule type="expression" dxfId="2141" priority="291">
      <formula>T62="City Wall"</formula>
    </cfRule>
    <cfRule type="expression" dxfId="2140" priority="292">
      <formula>U61="City Wall"</formula>
    </cfRule>
  </conditionalFormatting>
  <conditionalFormatting sqref="AC61">
    <cfRule type="expression" dxfId="2139" priority="289">
      <formula>AC62="City Wall"</formula>
    </cfRule>
    <cfRule type="expression" dxfId="2138" priority="290">
      <formula>U61="City Wall"</formula>
    </cfRule>
  </conditionalFormatting>
  <conditionalFormatting sqref="AC70">
    <cfRule type="expression" dxfId="2137" priority="287">
      <formula>U70="City Wall"</formula>
    </cfRule>
    <cfRule type="expression" dxfId="2136" priority="288">
      <formula>AC62="City Wall"</formula>
    </cfRule>
  </conditionalFormatting>
  <conditionalFormatting sqref="T70">
    <cfRule type="expression" dxfId="2135" priority="285">
      <formula>T62="City Wall"</formula>
    </cfRule>
    <cfRule type="expression" dxfId="2134" priority="286">
      <formula>U70="City Wall"</formula>
    </cfRule>
  </conditionalFormatting>
  <conditionalFormatting sqref="T71:AC71">
    <cfRule type="expression" dxfId="2133" priority="283">
      <formula>T71="Land"</formula>
    </cfRule>
    <cfRule type="expression" dxfId="2132" priority="284">
      <formula>T71="Water"</formula>
    </cfRule>
  </conditionalFormatting>
  <conditionalFormatting sqref="AD71">
    <cfRule type="expression" dxfId="2131" priority="279" stopIfTrue="1">
      <formula>AD61="Water"</formula>
    </cfRule>
    <cfRule type="expression" dxfId="2130" priority="280" stopIfTrue="1">
      <formula>T71="Water"</formula>
    </cfRule>
    <cfRule type="expression" dxfId="2129" priority="281" stopIfTrue="1">
      <formula>T71="Land"</formula>
    </cfRule>
    <cfRule type="expression" dxfId="2128" priority="282" stopIfTrue="1">
      <formula>AD61="Land"</formula>
    </cfRule>
  </conditionalFormatting>
  <conditionalFormatting sqref="T60:AC60">
    <cfRule type="expression" dxfId="2127" priority="277" stopIfTrue="1">
      <formula>T60="Water"</formula>
    </cfRule>
    <cfRule type="expression" dxfId="2126" priority="278" stopIfTrue="1">
      <formula>T60="Land"</formula>
    </cfRule>
  </conditionalFormatting>
  <conditionalFormatting sqref="S71">
    <cfRule type="expression" dxfId="2125" priority="273" stopIfTrue="1">
      <formula>S61="Water"</formula>
    </cfRule>
    <cfRule type="expression" dxfId="2124" priority="274" stopIfTrue="1">
      <formula>T71="Water"</formula>
    </cfRule>
    <cfRule type="expression" dxfId="2123" priority="275" stopIfTrue="1">
      <formula>T71="Land"</formula>
    </cfRule>
    <cfRule type="expression" dxfId="2122" priority="276" stopIfTrue="1">
      <formula>S61="Land"</formula>
    </cfRule>
  </conditionalFormatting>
  <conditionalFormatting sqref="S61:S70">
    <cfRule type="expression" dxfId="2121" priority="271" stopIfTrue="1">
      <formula>S61="Water"</formula>
    </cfRule>
    <cfRule type="expression" dxfId="2120" priority="272" stopIfTrue="1">
      <formula>S61="Land"</formula>
    </cfRule>
  </conditionalFormatting>
  <conditionalFormatting sqref="AD61:AD70">
    <cfRule type="expression" dxfId="2119" priority="269" stopIfTrue="1">
      <formula>AD61="Water"</formula>
    </cfRule>
    <cfRule type="expression" dxfId="2118" priority="270" stopIfTrue="1">
      <formula>AD61="Land"</formula>
    </cfRule>
  </conditionalFormatting>
  <conditionalFormatting sqref="AD60">
    <cfRule type="expression" dxfId="2117" priority="265" stopIfTrue="1">
      <formula>AD61="Water"</formula>
    </cfRule>
    <cfRule type="expression" dxfId="2116" priority="266" stopIfTrue="1">
      <formula>T60="Water"</formula>
    </cfRule>
    <cfRule type="expression" dxfId="2115" priority="267" stopIfTrue="1">
      <formula>T60="Land"</formula>
    </cfRule>
    <cfRule type="expression" dxfId="2114" priority="268" stopIfTrue="1">
      <formula>AD61="Land"</formula>
    </cfRule>
  </conditionalFormatting>
  <conditionalFormatting sqref="S60">
    <cfRule type="expression" dxfId="2113" priority="261" stopIfTrue="1">
      <formula>T60="Water"</formula>
    </cfRule>
    <cfRule type="expression" dxfId="2112" priority="262" stopIfTrue="1">
      <formula>S61="Water"</formula>
    </cfRule>
    <cfRule type="expression" dxfId="2111" priority="263" stopIfTrue="1">
      <formula>T60="Land"</formula>
    </cfRule>
    <cfRule type="expression" dxfId="2110" priority="264" stopIfTrue="1">
      <formula>S61="Land"</formula>
    </cfRule>
  </conditionalFormatting>
  <conditionalFormatting sqref="U62:AB69">
    <cfRule type="expression" dxfId="2109" priority="260">
      <formula>U62&lt;&gt;""</formula>
    </cfRule>
  </conditionalFormatting>
  <conditionalFormatting sqref="AH61:AO61">
    <cfRule type="expression" dxfId="2108" priority="259">
      <formula>AH61="City Wall"</formula>
    </cfRule>
  </conditionalFormatting>
  <conditionalFormatting sqref="AH70:AO70">
    <cfRule type="expression" dxfId="2107" priority="258">
      <formula>AH70="City Wall"</formula>
    </cfRule>
  </conditionalFormatting>
  <conditionalFormatting sqref="AG62:AG69">
    <cfRule type="expression" dxfId="2106" priority="257">
      <formula>AG62="City Wall"</formula>
    </cfRule>
  </conditionalFormatting>
  <conditionalFormatting sqref="AP62:AP69">
    <cfRule type="expression" dxfId="2105" priority="256">
      <formula>AP62="City Wall"</formula>
    </cfRule>
  </conditionalFormatting>
  <conditionalFormatting sqref="AG61">
    <cfRule type="expression" dxfId="2104" priority="254">
      <formula>AG62="City Wall"</formula>
    </cfRule>
    <cfRule type="expression" dxfId="2103" priority="255">
      <formula>AH61="City Wall"</formula>
    </cfRule>
  </conditionalFormatting>
  <conditionalFormatting sqref="AP61">
    <cfRule type="expression" dxfId="2102" priority="252">
      <formula>AP62="City Wall"</formula>
    </cfRule>
    <cfRule type="expression" dxfId="2101" priority="253">
      <formula>AH61="City Wall"</formula>
    </cfRule>
  </conditionalFormatting>
  <conditionalFormatting sqref="AP70">
    <cfRule type="expression" dxfId="2100" priority="250">
      <formula>AH70="City Wall"</formula>
    </cfRule>
    <cfRule type="expression" dxfId="2099" priority="251">
      <formula>AP62="City Wall"</formula>
    </cfRule>
  </conditionalFormatting>
  <conditionalFormatting sqref="AG70">
    <cfRule type="expression" dxfId="2098" priority="248">
      <formula>AG62="City Wall"</formula>
    </cfRule>
    <cfRule type="expression" dxfId="2097" priority="249">
      <formula>AH70="City Wall"</formula>
    </cfRule>
  </conditionalFormatting>
  <conditionalFormatting sqref="AG71:AP71">
    <cfRule type="expression" dxfId="2096" priority="246">
      <formula>AG71="Land"</formula>
    </cfRule>
    <cfRule type="expression" dxfId="2095" priority="247">
      <formula>AG71="Water"</formula>
    </cfRule>
  </conditionalFormatting>
  <conditionalFormatting sqref="AQ71">
    <cfRule type="expression" dxfId="2094" priority="242" stopIfTrue="1">
      <formula>AQ61="Water"</formula>
    </cfRule>
    <cfRule type="expression" dxfId="2093" priority="243" stopIfTrue="1">
      <formula>AG71="Water"</formula>
    </cfRule>
    <cfRule type="expression" dxfId="2092" priority="244" stopIfTrue="1">
      <formula>AG71="Land"</formula>
    </cfRule>
    <cfRule type="expression" dxfId="2091" priority="245" stopIfTrue="1">
      <formula>AQ61="Land"</formula>
    </cfRule>
  </conditionalFormatting>
  <conditionalFormatting sqref="AG60:AP60">
    <cfRule type="expression" dxfId="2090" priority="240" stopIfTrue="1">
      <formula>AG60="Water"</formula>
    </cfRule>
    <cfRule type="expression" dxfId="2089" priority="241" stopIfTrue="1">
      <formula>AG60="Land"</formula>
    </cfRule>
  </conditionalFormatting>
  <conditionalFormatting sqref="AF71">
    <cfRule type="expression" dxfId="2088" priority="236" stopIfTrue="1">
      <formula>AF61="Water"</formula>
    </cfRule>
    <cfRule type="expression" dxfId="2087" priority="237" stopIfTrue="1">
      <formula>AG71="Water"</formula>
    </cfRule>
    <cfRule type="expression" dxfId="2086" priority="238" stopIfTrue="1">
      <formula>AG71="Land"</formula>
    </cfRule>
    <cfRule type="expression" dxfId="2085" priority="239" stopIfTrue="1">
      <formula>AF61="Land"</formula>
    </cfRule>
  </conditionalFormatting>
  <conditionalFormatting sqref="AF61:AF70">
    <cfRule type="expression" dxfId="2084" priority="234" stopIfTrue="1">
      <formula>AF61="Water"</formula>
    </cfRule>
    <cfRule type="expression" dxfId="2083" priority="235" stopIfTrue="1">
      <formula>AF61="Land"</formula>
    </cfRule>
  </conditionalFormatting>
  <conditionalFormatting sqref="AQ61:AQ70">
    <cfRule type="expression" dxfId="2082" priority="232" stopIfTrue="1">
      <formula>AQ61="Water"</formula>
    </cfRule>
    <cfRule type="expression" dxfId="2081" priority="233" stopIfTrue="1">
      <formula>AQ61="Land"</formula>
    </cfRule>
  </conditionalFormatting>
  <conditionalFormatting sqref="AQ60">
    <cfRule type="expression" dxfId="2080" priority="228" stopIfTrue="1">
      <formula>AQ61="Water"</formula>
    </cfRule>
    <cfRule type="expression" dxfId="2079" priority="229" stopIfTrue="1">
      <formula>AG60="Water"</formula>
    </cfRule>
    <cfRule type="expression" dxfId="2078" priority="230" stopIfTrue="1">
      <formula>AG60="Land"</formula>
    </cfRule>
    <cfRule type="expression" dxfId="2077" priority="231" stopIfTrue="1">
      <formula>AQ61="Land"</formula>
    </cfRule>
  </conditionalFormatting>
  <conditionalFormatting sqref="AF60">
    <cfRule type="expression" dxfId="2076" priority="224" stopIfTrue="1">
      <formula>AG60="Water"</formula>
    </cfRule>
    <cfRule type="expression" dxfId="2075" priority="225" stopIfTrue="1">
      <formula>AF61="Water"</formula>
    </cfRule>
    <cfRule type="expression" dxfId="2074" priority="226" stopIfTrue="1">
      <formula>AG60="Land"</formula>
    </cfRule>
    <cfRule type="expression" dxfId="2073" priority="227" stopIfTrue="1">
      <formula>AF61="Land"</formula>
    </cfRule>
  </conditionalFormatting>
  <conditionalFormatting sqref="AH62:AO69">
    <cfRule type="expression" dxfId="2072" priority="223">
      <formula>AH62&lt;&gt;""</formula>
    </cfRule>
  </conditionalFormatting>
  <conditionalFormatting sqref="AU61:BB61">
    <cfRule type="expression" dxfId="2071" priority="222">
      <formula>AU61="City Wall"</formula>
    </cfRule>
  </conditionalFormatting>
  <conditionalFormatting sqref="AU70:BB70">
    <cfRule type="expression" dxfId="2070" priority="221">
      <formula>AU70="City Wall"</formula>
    </cfRule>
  </conditionalFormatting>
  <conditionalFormatting sqref="AT62:AT69">
    <cfRule type="expression" dxfId="2069" priority="220">
      <formula>AT62="City Wall"</formula>
    </cfRule>
  </conditionalFormatting>
  <conditionalFormatting sqref="BC62:BC69">
    <cfRule type="expression" dxfId="2068" priority="219">
      <formula>BC62="City Wall"</formula>
    </cfRule>
  </conditionalFormatting>
  <conditionalFormatting sqref="AT61">
    <cfRule type="expression" dxfId="2067" priority="217">
      <formula>AT62="City Wall"</formula>
    </cfRule>
    <cfRule type="expression" dxfId="2066" priority="218">
      <formula>AU61="City Wall"</formula>
    </cfRule>
  </conditionalFormatting>
  <conditionalFormatting sqref="BC61">
    <cfRule type="expression" dxfId="2065" priority="215">
      <formula>BC62="City Wall"</formula>
    </cfRule>
    <cfRule type="expression" dxfId="2064" priority="216">
      <formula>AU61="City Wall"</formula>
    </cfRule>
  </conditionalFormatting>
  <conditionalFormatting sqref="BC70">
    <cfRule type="expression" dxfId="2063" priority="213">
      <formula>AU70="City Wall"</formula>
    </cfRule>
    <cfRule type="expression" dxfId="2062" priority="214">
      <formula>BC62="City Wall"</formula>
    </cfRule>
  </conditionalFormatting>
  <conditionalFormatting sqref="AT70">
    <cfRule type="expression" dxfId="2061" priority="211">
      <formula>AT62="City Wall"</formula>
    </cfRule>
    <cfRule type="expression" dxfId="2060" priority="212">
      <formula>AU70="City Wall"</formula>
    </cfRule>
  </conditionalFormatting>
  <conditionalFormatting sqref="AT71:BC71">
    <cfRule type="expression" dxfId="2059" priority="209">
      <formula>AT71="Land"</formula>
    </cfRule>
    <cfRule type="expression" dxfId="2058" priority="210">
      <formula>AT71="Water"</formula>
    </cfRule>
  </conditionalFormatting>
  <conditionalFormatting sqref="BD71">
    <cfRule type="expression" dxfId="2057" priority="205" stopIfTrue="1">
      <formula>BD61="Water"</formula>
    </cfRule>
    <cfRule type="expression" dxfId="2056" priority="206" stopIfTrue="1">
      <formula>AT71="Water"</formula>
    </cfRule>
    <cfRule type="expression" dxfId="2055" priority="207" stopIfTrue="1">
      <formula>AT71="Land"</formula>
    </cfRule>
    <cfRule type="expression" dxfId="2054" priority="208" stopIfTrue="1">
      <formula>BD61="Land"</formula>
    </cfRule>
  </conditionalFormatting>
  <conditionalFormatting sqref="AT60:BC60">
    <cfRule type="expression" dxfId="2053" priority="203" stopIfTrue="1">
      <formula>AT60="Water"</formula>
    </cfRule>
    <cfRule type="expression" dxfId="2052" priority="204" stopIfTrue="1">
      <formula>AT60="Land"</formula>
    </cfRule>
  </conditionalFormatting>
  <conditionalFormatting sqref="AS71">
    <cfRule type="expression" dxfId="2051" priority="199" stopIfTrue="1">
      <formula>AS61="Water"</formula>
    </cfRule>
    <cfRule type="expression" dxfId="2050" priority="200" stopIfTrue="1">
      <formula>AT71="Water"</formula>
    </cfRule>
    <cfRule type="expression" dxfId="2049" priority="201" stopIfTrue="1">
      <formula>AT71="Land"</formula>
    </cfRule>
    <cfRule type="expression" dxfId="2048" priority="202" stopIfTrue="1">
      <formula>AS61="Land"</formula>
    </cfRule>
  </conditionalFormatting>
  <conditionalFormatting sqref="AS61:AS70">
    <cfRule type="expression" dxfId="2047" priority="197" stopIfTrue="1">
      <formula>AS61="Water"</formula>
    </cfRule>
    <cfRule type="expression" dxfId="2046" priority="198" stopIfTrue="1">
      <formula>AS61="Land"</formula>
    </cfRule>
  </conditionalFormatting>
  <conditionalFormatting sqref="BD61:BD70">
    <cfRule type="expression" dxfId="2045" priority="195" stopIfTrue="1">
      <formula>BD61="Water"</formula>
    </cfRule>
    <cfRule type="expression" dxfId="2044" priority="196" stopIfTrue="1">
      <formula>BD61="Land"</formula>
    </cfRule>
  </conditionalFormatting>
  <conditionalFormatting sqref="BD60">
    <cfRule type="expression" dxfId="2043" priority="191" stopIfTrue="1">
      <formula>BD61="Water"</formula>
    </cfRule>
    <cfRule type="expression" dxfId="2042" priority="192" stopIfTrue="1">
      <formula>AT60="Water"</formula>
    </cfRule>
    <cfRule type="expression" dxfId="2041" priority="193" stopIfTrue="1">
      <formula>AT60="Land"</formula>
    </cfRule>
    <cfRule type="expression" dxfId="2040" priority="194" stopIfTrue="1">
      <formula>BD61="Land"</formula>
    </cfRule>
  </conditionalFormatting>
  <conditionalFormatting sqref="AS60">
    <cfRule type="expression" dxfId="2039" priority="187" stopIfTrue="1">
      <formula>AT60="Water"</formula>
    </cfRule>
    <cfRule type="expression" dxfId="2038" priority="188" stopIfTrue="1">
      <formula>AS61="Water"</formula>
    </cfRule>
    <cfRule type="expression" dxfId="2037" priority="189" stopIfTrue="1">
      <formula>AT60="Land"</formula>
    </cfRule>
    <cfRule type="expression" dxfId="2036" priority="190" stopIfTrue="1">
      <formula>AS61="Land"</formula>
    </cfRule>
  </conditionalFormatting>
  <conditionalFormatting sqref="AU62:BB69">
    <cfRule type="expression" dxfId="2035" priority="186">
      <formula>AU62&lt;&gt;""</formula>
    </cfRule>
  </conditionalFormatting>
  <conditionalFormatting sqref="BH9:BO9">
    <cfRule type="expression" dxfId="2034" priority="185">
      <formula>BH9="City Wall"</formula>
    </cfRule>
  </conditionalFormatting>
  <conditionalFormatting sqref="BH18:BO18">
    <cfRule type="expression" dxfId="2033" priority="184">
      <formula>BH18="City Wall"</formula>
    </cfRule>
  </conditionalFormatting>
  <conditionalFormatting sqref="BG10:BG17">
    <cfRule type="expression" dxfId="2032" priority="183">
      <formula>BG10="City Wall"</formula>
    </cfRule>
  </conditionalFormatting>
  <conditionalFormatting sqref="BP10:BP17">
    <cfRule type="expression" dxfId="2031" priority="182">
      <formula>BP10="City Wall"</formula>
    </cfRule>
  </conditionalFormatting>
  <conditionalFormatting sqref="BG9">
    <cfRule type="expression" dxfId="2030" priority="180">
      <formula>BG10="City Wall"</formula>
    </cfRule>
    <cfRule type="expression" dxfId="2029" priority="181">
      <formula>BH9="City Wall"</formula>
    </cfRule>
  </conditionalFormatting>
  <conditionalFormatting sqref="BP9">
    <cfRule type="expression" dxfId="2028" priority="178">
      <formula>BP10="City Wall"</formula>
    </cfRule>
    <cfRule type="expression" dxfId="2027" priority="179">
      <formula>BH9="City Wall"</formula>
    </cfRule>
  </conditionalFormatting>
  <conditionalFormatting sqref="BP18">
    <cfRule type="expression" dxfId="2026" priority="176">
      <formula>BH18="City Wall"</formula>
    </cfRule>
    <cfRule type="expression" dxfId="2025" priority="177">
      <formula>BP10="City Wall"</formula>
    </cfRule>
  </conditionalFormatting>
  <conditionalFormatting sqref="BG18">
    <cfRule type="expression" dxfId="2024" priority="174">
      <formula>BG10="City Wall"</formula>
    </cfRule>
    <cfRule type="expression" dxfId="2023" priority="175">
      <formula>BH18="City Wall"</formula>
    </cfRule>
  </conditionalFormatting>
  <conditionalFormatting sqref="BG19:BP19">
    <cfRule type="expression" dxfId="2022" priority="172">
      <formula>BG19="Land"</formula>
    </cfRule>
    <cfRule type="expression" dxfId="2021" priority="173">
      <formula>BG19="Water"</formula>
    </cfRule>
  </conditionalFormatting>
  <conditionalFormatting sqref="BQ19">
    <cfRule type="expression" dxfId="2020" priority="168" stopIfTrue="1">
      <formula>BQ9="Water"</formula>
    </cfRule>
    <cfRule type="expression" dxfId="2019" priority="169" stopIfTrue="1">
      <formula>BG19="Water"</formula>
    </cfRule>
    <cfRule type="expression" dxfId="2018" priority="170" stopIfTrue="1">
      <formula>BG19="Land"</formula>
    </cfRule>
    <cfRule type="expression" dxfId="2017" priority="171" stopIfTrue="1">
      <formula>BQ9="Land"</formula>
    </cfRule>
  </conditionalFormatting>
  <conditionalFormatting sqref="BG8:BP8">
    <cfRule type="expression" dxfId="2016" priority="166" stopIfTrue="1">
      <formula>BG8="Water"</formula>
    </cfRule>
    <cfRule type="expression" dxfId="2015" priority="167" stopIfTrue="1">
      <formula>BG8="Land"</formula>
    </cfRule>
  </conditionalFormatting>
  <conditionalFormatting sqref="BF19">
    <cfRule type="expression" dxfId="2014" priority="162" stopIfTrue="1">
      <formula>BF9="Water"</formula>
    </cfRule>
    <cfRule type="expression" dxfId="2013" priority="163" stopIfTrue="1">
      <formula>BG19="Water"</formula>
    </cfRule>
    <cfRule type="expression" dxfId="2012" priority="164" stopIfTrue="1">
      <formula>BG19="Land"</formula>
    </cfRule>
    <cfRule type="expression" dxfId="2011" priority="165" stopIfTrue="1">
      <formula>BF9="Land"</formula>
    </cfRule>
  </conditionalFormatting>
  <conditionalFormatting sqref="BF9:BF18">
    <cfRule type="expression" dxfId="2010" priority="160" stopIfTrue="1">
      <formula>BF9="Water"</formula>
    </cfRule>
    <cfRule type="expression" dxfId="2009" priority="161" stopIfTrue="1">
      <formula>BF9="Land"</formula>
    </cfRule>
  </conditionalFormatting>
  <conditionalFormatting sqref="BQ9:BQ18">
    <cfRule type="expression" dxfId="2008" priority="158" stopIfTrue="1">
      <formula>BQ9="Water"</formula>
    </cfRule>
    <cfRule type="expression" dxfId="2007" priority="159" stopIfTrue="1">
      <formula>BQ9="Land"</formula>
    </cfRule>
  </conditionalFormatting>
  <conditionalFormatting sqref="BQ8">
    <cfRule type="expression" dxfId="2006" priority="154" stopIfTrue="1">
      <formula>BQ9="Water"</formula>
    </cfRule>
    <cfRule type="expression" dxfId="2005" priority="155" stopIfTrue="1">
      <formula>BG8="Water"</formula>
    </cfRule>
    <cfRule type="expression" dxfId="2004" priority="156" stopIfTrue="1">
      <formula>BG8="Land"</formula>
    </cfRule>
    <cfRule type="expression" dxfId="2003" priority="157" stopIfTrue="1">
      <formula>BQ9="Land"</formula>
    </cfRule>
  </conditionalFormatting>
  <conditionalFormatting sqref="BF8">
    <cfRule type="expression" dxfId="2002" priority="150" stopIfTrue="1">
      <formula>BG8="Water"</formula>
    </cfRule>
    <cfRule type="expression" dxfId="2001" priority="151" stopIfTrue="1">
      <formula>BF9="Water"</formula>
    </cfRule>
    <cfRule type="expression" dxfId="2000" priority="152" stopIfTrue="1">
      <formula>BG8="Land"</formula>
    </cfRule>
    <cfRule type="expression" dxfId="1999" priority="153" stopIfTrue="1">
      <formula>BF9="Land"</formula>
    </cfRule>
  </conditionalFormatting>
  <conditionalFormatting sqref="BH10:BO17">
    <cfRule type="expression" dxfId="1998" priority="149">
      <formula>BH10&lt;&gt;""</formula>
    </cfRule>
  </conditionalFormatting>
  <conditionalFormatting sqref="BH22:BO22">
    <cfRule type="expression" dxfId="1997" priority="148">
      <formula>BH22="City Wall"</formula>
    </cfRule>
  </conditionalFormatting>
  <conditionalFormatting sqref="BH31:BO31">
    <cfRule type="expression" dxfId="1996" priority="147">
      <formula>BH31="City Wall"</formula>
    </cfRule>
  </conditionalFormatting>
  <conditionalFormatting sqref="BG23:BG30">
    <cfRule type="expression" dxfId="1995" priority="146">
      <formula>BG23="City Wall"</formula>
    </cfRule>
  </conditionalFormatting>
  <conditionalFormatting sqref="BP23:BP30">
    <cfRule type="expression" dxfId="1994" priority="145">
      <formula>BP23="City Wall"</formula>
    </cfRule>
  </conditionalFormatting>
  <conditionalFormatting sqref="BG22">
    <cfRule type="expression" dxfId="1993" priority="143">
      <formula>BG23="City Wall"</formula>
    </cfRule>
    <cfRule type="expression" dxfId="1992" priority="144">
      <formula>BH22="City Wall"</formula>
    </cfRule>
  </conditionalFormatting>
  <conditionalFormatting sqref="BP22">
    <cfRule type="expression" dxfId="1991" priority="141">
      <formula>BP23="City Wall"</formula>
    </cfRule>
    <cfRule type="expression" dxfId="1990" priority="142">
      <formula>BH22="City Wall"</formula>
    </cfRule>
  </conditionalFormatting>
  <conditionalFormatting sqref="BP31">
    <cfRule type="expression" dxfId="1989" priority="139">
      <formula>BH31="City Wall"</formula>
    </cfRule>
    <cfRule type="expression" dxfId="1988" priority="140">
      <formula>BP23="City Wall"</formula>
    </cfRule>
  </conditionalFormatting>
  <conditionalFormatting sqref="BG31">
    <cfRule type="expression" dxfId="1987" priority="137">
      <formula>BG23="City Wall"</formula>
    </cfRule>
    <cfRule type="expression" dxfId="1986" priority="138">
      <formula>BH31="City Wall"</formula>
    </cfRule>
  </conditionalFormatting>
  <conditionalFormatting sqref="BG32:BP32">
    <cfRule type="expression" dxfId="1985" priority="135">
      <formula>BG32="Land"</formula>
    </cfRule>
    <cfRule type="expression" dxfId="1984" priority="136">
      <formula>BG32="Water"</formula>
    </cfRule>
  </conditionalFormatting>
  <conditionalFormatting sqref="BQ32">
    <cfRule type="expression" dxfId="1983" priority="131" stopIfTrue="1">
      <formula>BQ22="Water"</formula>
    </cfRule>
    <cfRule type="expression" dxfId="1982" priority="132" stopIfTrue="1">
      <formula>BG32="Water"</formula>
    </cfRule>
    <cfRule type="expression" dxfId="1981" priority="133" stopIfTrue="1">
      <formula>BG32="Land"</formula>
    </cfRule>
    <cfRule type="expression" dxfId="1980" priority="134" stopIfTrue="1">
      <formula>BQ22="Land"</formula>
    </cfRule>
  </conditionalFormatting>
  <conditionalFormatting sqref="BG21:BP21">
    <cfRule type="expression" dxfId="1979" priority="129" stopIfTrue="1">
      <formula>BG21="Water"</formula>
    </cfRule>
    <cfRule type="expression" dxfId="1978" priority="130" stopIfTrue="1">
      <formula>BG21="Land"</formula>
    </cfRule>
  </conditionalFormatting>
  <conditionalFormatting sqref="BF32">
    <cfRule type="expression" dxfId="1977" priority="125" stopIfTrue="1">
      <formula>BF22="Water"</formula>
    </cfRule>
    <cfRule type="expression" dxfId="1976" priority="126" stopIfTrue="1">
      <formula>BG32="Water"</formula>
    </cfRule>
    <cfRule type="expression" dxfId="1975" priority="127" stopIfTrue="1">
      <formula>BG32="Land"</formula>
    </cfRule>
    <cfRule type="expression" dxfId="1974" priority="128" stopIfTrue="1">
      <formula>BF22="Land"</formula>
    </cfRule>
  </conditionalFormatting>
  <conditionalFormatting sqref="BF22:BF31">
    <cfRule type="expression" dxfId="1973" priority="123" stopIfTrue="1">
      <formula>BF22="Water"</formula>
    </cfRule>
    <cfRule type="expression" dxfId="1972" priority="124" stopIfTrue="1">
      <formula>BF22="Land"</formula>
    </cfRule>
  </conditionalFormatting>
  <conditionalFormatting sqref="BQ22:BQ31">
    <cfRule type="expression" dxfId="1971" priority="121" stopIfTrue="1">
      <formula>BQ22="Water"</formula>
    </cfRule>
    <cfRule type="expression" dxfId="1970" priority="122" stopIfTrue="1">
      <formula>BQ22="Land"</formula>
    </cfRule>
  </conditionalFormatting>
  <conditionalFormatting sqref="BQ21">
    <cfRule type="expression" dxfId="1969" priority="117" stopIfTrue="1">
      <formula>BQ22="Water"</formula>
    </cfRule>
    <cfRule type="expression" dxfId="1968" priority="118" stopIfTrue="1">
      <formula>BG21="Water"</formula>
    </cfRule>
    <cfRule type="expression" dxfId="1967" priority="119" stopIfTrue="1">
      <formula>BG21="Land"</formula>
    </cfRule>
    <cfRule type="expression" dxfId="1966" priority="120" stopIfTrue="1">
      <formula>BQ22="Land"</formula>
    </cfRule>
  </conditionalFormatting>
  <conditionalFormatting sqref="BF21">
    <cfRule type="expression" dxfId="1965" priority="113" stopIfTrue="1">
      <formula>BG21="Water"</formula>
    </cfRule>
    <cfRule type="expression" dxfId="1964" priority="114" stopIfTrue="1">
      <formula>BF22="Water"</formula>
    </cfRule>
    <cfRule type="expression" dxfId="1963" priority="115" stopIfTrue="1">
      <formula>BG21="Land"</formula>
    </cfRule>
    <cfRule type="expression" dxfId="1962" priority="116" stopIfTrue="1">
      <formula>BF22="Land"</formula>
    </cfRule>
  </conditionalFormatting>
  <conditionalFormatting sqref="BH23:BO30">
    <cfRule type="expression" dxfId="1961" priority="112">
      <formula>BH23&lt;&gt;""</formula>
    </cfRule>
  </conditionalFormatting>
  <conditionalFormatting sqref="BH35:BO35">
    <cfRule type="expression" dxfId="1960" priority="111">
      <formula>BH35="City Wall"</formula>
    </cfRule>
  </conditionalFormatting>
  <conditionalFormatting sqref="BH44:BO44">
    <cfRule type="expression" dxfId="1959" priority="110">
      <formula>BH44="City Wall"</formula>
    </cfRule>
  </conditionalFormatting>
  <conditionalFormatting sqref="BG36:BG43">
    <cfRule type="expression" dxfId="1958" priority="109">
      <formula>BG36="City Wall"</formula>
    </cfRule>
  </conditionalFormatting>
  <conditionalFormatting sqref="BP36:BP43">
    <cfRule type="expression" dxfId="1957" priority="108">
      <formula>BP36="City Wall"</formula>
    </cfRule>
  </conditionalFormatting>
  <conditionalFormatting sqref="BG35">
    <cfRule type="expression" dxfId="1956" priority="106">
      <formula>BG36="City Wall"</formula>
    </cfRule>
    <cfRule type="expression" dxfId="1955" priority="107">
      <formula>BH35="City Wall"</formula>
    </cfRule>
  </conditionalFormatting>
  <conditionalFormatting sqref="BP35">
    <cfRule type="expression" dxfId="1954" priority="104">
      <formula>BP36="City Wall"</formula>
    </cfRule>
    <cfRule type="expression" dxfId="1953" priority="105">
      <formula>BH35="City Wall"</formula>
    </cfRule>
  </conditionalFormatting>
  <conditionalFormatting sqref="BP44">
    <cfRule type="expression" dxfId="1952" priority="102">
      <formula>BH44="City Wall"</formula>
    </cfRule>
    <cfRule type="expression" dxfId="1951" priority="103">
      <formula>BP36="City Wall"</formula>
    </cfRule>
  </conditionalFormatting>
  <conditionalFormatting sqref="BG44">
    <cfRule type="expression" dxfId="1950" priority="100">
      <formula>BG36="City Wall"</formula>
    </cfRule>
    <cfRule type="expression" dxfId="1949" priority="101">
      <formula>BH44="City Wall"</formula>
    </cfRule>
  </conditionalFormatting>
  <conditionalFormatting sqref="BG45:BP45">
    <cfRule type="expression" dxfId="1948" priority="98">
      <formula>BG45="Land"</formula>
    </cfRule>
    <cfRule type="expression" dxfId="1947" priority="99">
      <formula>BG45="Water"</formula>
    </cfRule>
  </conditionalFormatting>
  <conditionalFormatting sqref="BQ45">
    <cfRule type="expression" dxfId="1946" priority="94" stopIfTrue="1">
      <formula>BQ35="Water"</formula>
    </cfRule>
    <cfRule type="expression" dxfId="1945" priority="95" stopIfTrue="1">
      <formula>BG45="Water"</formula>
    </cfRule>
    <cfRule type="expression" dxfId="1944" priority="96" stopIfTrue="1">
      <formula>BG45="Land"</formula>
    </cfRule>
    <cfRule type="expression" dxfId="1943" priority="97" stopIfTrue="1">
      <formula>BQ35="Land"</formula>
    </cfRule>
  </conditionalFormatting>
  <conditionalFormatting sqref="BG34:BP34">
    <cfRule type="expression" dxfId="1942" priority="92" stopIfTrue="1">
      <formula>BG34="Water"</formula>
    </cfRule>
    <cfRule type="expression" dxfId="1941" priority="93" stopIfTrue="1">
      <formula>BG34="Land"</formula>
    </cfRule>
  </conditionalFormatting>
  <conditionalFormatting sqref="BF45">
    <cfRule type="expression" dxfId="1940" priority="88" stopIfTrue="1">
      <formula>BF35="Water"</formula>
    </cfRule>
    <cfRule type="expression" dxfId="1939" priority="89" stopIfTrue="1">
      <formula>BG45="Water"</formula>
    </cfRule>
    <cfRule type="expression" dxfId="1938" priority="90" stopIfTrue="1">
      <formula>BG45="Land"</formula>
    </cfRule>
    <cfRule type="expression" dxfId="1937" priority="91" stopIfTrue="1">
      <formula>BF35="Land"</formula>
    </cfRule>
  </conditionalFormatting>
  <conditionalFormatting sqref="BF35:BF44">
    <cfRule type="expression" dxfId="1936" priority="86" stopIfTrue="1">
      <formula>BF35="Water"</formula>
    </cfRule>
    <cfRule type="expression" dxfId="1935" priority="87" stopIfTrue="1">
      <formula>BF35="Land"</formula>
    </cfRule>
  </conditionalFormatting>
  <conditionalFormatting sqref="BQ35:BQ44">
    <cfRule type="expression" dxfId="1934" priority="84" stopIfTrue="1">
      <formula>BQ35="Water"</formula>
    </cfRule>
    <cfRule type="expression" dxfId="1933" priority="85" stopIfTrue="1">
      <formula>BQ35="Land"</formula>
    </cfRule>
  </conditionalFormatting>
  <conditionalFormatting sqref="BQ34">
    <cfRule type="expression" dxfId="1932" priority="80" stopIfTrue="1">
      <formula>BQ35="Water"</formula>
    </cfRule>
    <cfRule type="expression" dxfId="1931" priority="81" stopIfTrue="1">
      <formula>BG34="Water"</formula>
    </cfRule>
    <cfRule type="expression" dxfId="1930" priority="82" stopIfTrue="1">
      <formula>BG34="Land"</formula>
    </cfRule>
    <cfRule type="expression" dxfId="1929" priority="83" stopIfTrue="1">
      <formula>BQ35="Land"</formula>
    </cfRule>
  </conditionalFormatting>
  <conditionalFormatting sqref="BF34">
    <cfRule type="expression" dxfId="1928" priority="76" stopIfTrue="1">
      <formula>BG34="Water"</formula>
    </cfRule>
    <cfRule type="expression" dxfId="1927" priority="77" stopIfTrue="1">
      <formula>BF35="Water"</formula>
    </cfRule>
    <cfRule type="expression" dxfId="1926" priority="78" stopIfTrue="1">
      <formula>BG34="Land"</formula>
    </cfRule>
    <cfRule type="expression" dxfId="1925" priority="79" stopIfTrue="1">
      <formula>BF35="Land"</formula>
    </cfRule>
  </conditionalFormatting>
  <conditionalFormatting sqref="BH36:BO43">
    <cfRule type="expression" dxfId="1924" priority="75">
      <formula>BH36&lt;&gt;""</formula>
    </cfRule>
  </conditionalFormatting>
  <conditionalFormatting sqref="BH48:BO48">
    <cfRule type="expression" dxfId="1923" priority="74">
      <formula>BH48="City Wall"</formula>
    </cfRule>
  </conditionalFormatting>
  <conditionalFormatting sqref="BH57:BO57">
    <cfRule type="expression" dxfId="1922" priority="73">
      <formula>BH57="City Wall"</formula>
    </cfRule>
  </conditionalFormatting>
  <conditionalFormatting sqref="BG49:BG56">
    <cfRule type="expression" dxfId="1921" priority="72">
      <formula>BG49="City Wall"</formula>
    </cfRule>
  </conditionalFormatting>
  <conditionalFormatting sqref="BP49:BP56">
    <cfRule type="expression" dxfId="1920" priority="71">
      <formula>BP49="City Wall"</formula>
    </cfRule>
  </conditionalFormatting>
  <conditionalFormatting sqref="BG48">
    <cfRule type="expression" dxfId="1919" priority="69">
      <formula>BG49="City Wall"</formula>
    </cfRule>
    <cfRule type="expression" dxfId="1918" priority="70">
      <formula>BH48="City Wall"</formula>
    </cfRule>
  </conditionalFormatting>
  <conditionalFormatting sqref="BP48">
    <cfRule type="expression" dxfId="1917" priority="67">
      <formula>BP49="City Wall"</formula>
    </cfRule>
    <cfRule type="expression" dxfId="1916" priority="68">
      <formula>BH48="City Wall"</formula>
    </cfRule>
  </conditionalFormatting>
  <conditionalFormatting sqref="BP57">
    <cfRule type="expression" dxfId="1915" priority="65">
      <formula>BH57="City Wall"</formula>
    </cfRule>
    <cfRule type="expression" dxfId="1914" priority="66">
      <formula>BP49="City Wall"</formula>
    </cfRule>
  </conditionalFormatting>
  <conditionalFormatting sqref="BG57">
    <cfRule type="expression" dxfId="1913" priority="63">
      <formula>BG49="City Wall"</formula>
    </cfRule>
    <cfRule type="expression" dxfId="1912" priority="64">
      <formula>BH57="City Wall"</formula>
    </cfRule>
  </conditionalFormatting>
  <conditionalFormatting sqref="BG58:BP58">
    <cfRule type="expression" dxfId="1911" priority="61">
      <formula>BG58="Land"</formula>
    </cfRule>
    <cfRule type="expression" dxfId="1910" priority="62">
      <formula>BG58="Water"</formula>
    </cfRule>
  </conditionalFormatting>
  <conditionalFormatting sqref="BQ58">
    <cfRule type="expression" dxfId="1909" priority="57" stopIfTrue="1">
      <formula>BQ48="Water"</formula>
    </cfRule>
    <cfRule type="expression" dxfId="1908" priority="58" stopIfTrue="1">
      <formula>BG58="Water"</formula>
    </cfRule>
    <cfRule type="expression" dxfId="1907" priority="59" stopIfTrue="1">
      <formula>BG58="Land"</formula>
    </cfRule>
    <cfRule type="expression" dxfId="1906" priority="60" stopIfTrue="1">
      <formula>BQ48="Land"</formula>
    </cfRule>
  </conditionalFormatting>
  <conditionalFormatting sqref="BG47:BP47">
    <cfRule type="expression" dxfId="1905" priority="55" stopIfTrue="1">
      <formula>BG47="Water"</formula>
    </cfRule>
    <cfRule type="expression" dxfId="1904" priority="56" stopIfTrue="1">
      <formula>BG47="Land"</formula>
    </cfRule>
  </conditionalFormatting>
  <conditionalFormatting sqref="BF58">
    <cfRule type="expression" dxfId="1903" priority="51" stopIfTrue="1">
      <formula>BF48="Water"</formula>
    </cfRule>
    <cfRule type="expression" dxfId="1902" priority="52" stopIfTrue="1">
      <formula>BG58="Water"</formula>
    </cfRule>
    <cfRule type="expression" dxfId="1901" priority="53" stopIfTrue="1">
      <formula>BG58="Land"</formula>
    </cfRule>
    <cfRule type="expression" dxfId="1900" priority="54" stopIfTrue="1">
      <formula>BF48="Land"</formula>
    </cfRule>
  </conditionalFormatting>
  <conditionalFormatting sqref="BF48:BF57">
    <cfRule type="expression" dxfId="1899" priority="49" stopIfTrue="1">
      <formula>BF48="Water"</formula>
    </cfRule>
    <cfRule type="expression" dxfId="1898" priority="50" stopIfTrue="1">
      <formula>BF48="Land"</formula>
    </cfRule>
  </conditionalFormatting>
  <conditionalFormatting sqref="BQ48:BQ57">
    <cfRule type="expression" dxfId="1897" priority="47" stopIfTrue="1">
      <formula>BQ48="Water"</formula>
    </cfRule>
    <cfRule type="expression" dxfId="1896" priority="48" stopIfTrue="1">
      <formula>BQ48="Land"</formula>
    </cfRule>
  </conditionalFormatting>
  <conditionalFormatting sqref="BQ47">
    <cfRule type="expression" dxfId="1895" priority="43" stopIfTrue="1">
      <formula>BQ48="Water"</formula>
    </cfRule>
    <cfRule type="expression" dxfId="1894" priority="44" stopIfTrue="1">
      <formula>BG47="Water"</formula>
    </cfRule>
    <cfRule type="expression" dxfId="1893" priority="45" stopIfTrue="1">
      <formula>BG47="Land"</formula>
    </cfRule>
    <cfRule type="expression" dxfId="1892" priority="46" stopIfTrue="1">
      <formula>BQ48="Land"</formula>
    </cfRule>
  </conditionalFormatting>
  <conditionalFormatting sqref="BF47">
    <cfRule type="expression" dxfId="1891" priority="39" stopIfTrue="1">
      <formula>BG47="Water"</formula>
    </cfRule>
    <cfRule type="expression" dxfId="1890" priority="40" stopIfTrue="1">
      <formula>BF48="Water"</formula>
    </cfRule>
    <cfRule type="expression" dxfId="1889" priority="41" stopIfTrue="1">
      <formula>BG47="Land"</formula>
    </cfRule>
    <cfRule type="expression" dxfId="1888" priority="42" stopIfTrue="1">
      <formula>BF48="Land"</formula>
    </cfRule>
  </conditionalFormatting>
  <conditionalFormatting sqref="BH49:BO56">
    <cfRule type="expression" dxfId="1887" priority="38">
      <formula>BH49&lt;&gt;""</formula>
    </cfRule>
  </conditionalFormatting>
  <conditionalFormatting sqref="BH61:BO61">
    <cfRule type="expression" dxfId="1886" priority="37">
      <formula>BH61="City Wall"</formula>
    </cfRule>
  </conditionalFormatting>
  <conditionalFormatting sqref="BH70:BO70">
    <cfRule type="expression" dxfId="1885" priority="36">
      <formula>BH70="City Wall"</formula>
    </cfRule>
  </conditionalFormatting>
  <conditionalFormatting sqref="BG62:BG69">
    <cfRule type="expression" dxfId="1884" priority="35">
      <formula>BG62="City Wall"</formula>
    </cfRule>
  </conditionalFormatting>
  <conditionalFormatting sqref="BP62:BP69">
    <cfRule type="expression" dxfId="1883" priority="34">
      <formula>BP62="City Wall"</formula>
    </cfRule>
  </conditionalFormatting>
  <conditionalFormatting sqref="BG61">
    <cfRule type="expression" dxfId="1882" priority="32">
      <formula>BG62="City Wall"</formula>
    </cfRule>
    <cfRule type="expression" dxfId="1881" priority="33">
      <formula>BH61="City Wall"</formula>
    </cfRule>
  </conditionalFormatting>
  <conditionalFormatting sqref="BP61">
    <cfRule type="expression" dxfId="1880" priority="30">
      <formula>BP62="City Wall"</formula>
    </cfRule>
    <cfRule type="expression" dxfId="1879" priority="31">
      <formula>BH61="City Wall"</formula>
    </cfRule>
  </conditionalFormatting>
  <conditionalFormatting sqref="BP70">
    <cfRule type="expression" dxfId="1878" priority="28">
      <formula>BH70="City Wall"</formula>
    </cfRule>
    <cfRule type="expression" dxfId="1877" priority="29">
      <formula>BP62="City Wall"</formula>
    </cfRule>
  </conditionalFormatting>
  <conditionalFormatting sqref="BG70">
    <cfRule type="expression" dxfId="1876" priority="26">
      <formula>BG62="City Wall"</formula>
    </cfRule>
    <cfRule type="expression" dxfId="1875" priority="27">
      <formula>BH70="City Wall"</formula>
    </cfRule>
  </conditionalFormatting>
  <conditionalFormatting sqref="BG71:BP71">
    <cfRule type="expression" dxfId="1874" priority="24">
      <formula>BG71="Land"</formula>
    </cfRule>
    <cfRule type="expression" dxfId="1873" priority="25">
      <formula>BG71="Water"</formula>
    </cfRule>
  </conditionalFormatting>
  <conditionalFormatting sqref="BQ71">
    <cfRule type="expression" dxfId="1872" priority="20" stopIfTrue="1">
      <formula>BQ61="Water"</formula>
    </cfRule>
    <cfRule type="expression" dxfId="1871" priority="21" stopIfTrue="1">
      <formula>BG71="Water"</formula>
    </cfRule>
    <cfRule type="expression" dxfId="1870" priority="22" stopIfTrue="1">
      <formula>BG71="Land"</formula>
    </cfRule>
    <cfRule type="expression" dxfId="1869" priority="23" stopIfTrue="1">
      <formula>BQ61="Land"</formula>
    </cfRule>
  </conditionalFormatting>
  <conditionalFormatting sqref="BG60:BP60">
    <cfRule type="expression" dxfId="1868" priority="18" stopIfTrue="1">
      <formula>BG60="Water"</formula>
    </cfRule>
    <cfRule type="expression" dxfId="1867" priority="19" stopIfTrue="1">
      <formula>BG60="Land"</formula>
    </cfRule>
  </conditionalFormatting>
  <conditionalFormatting sqref="BF71">
    <cfRule type="expression" dxfId="1866" priority="14" stopIfTrue="1">
      <formula>BF61="Water"</formula>
    </cfRule>
    <cfRule type="expression" dxfId="1865" priority="15" stopIfTrue="1">
      <formula>BG71="Water"</formula>
    </cfRule>
    <cfRule type="expression" dxfId="1864" priority="16" stopIfTrue="1">
      <formula>BG71="Land"</formula>
    </cfRule>
    <cfRule type="expression" dxfId="1863" priority="17" stopIfTrue="1">
      <formula>BF61="Land"</formula>
    </cfRule>
  </conditionalFormatting>
  <conditionalFormatting sqref="BF61:BF70">
    <cfRule type="expression" dxfId="1862" priority="12" stopIfTrue="1">
      <formula>BF61="Water"</formula>
    </cfRule>
    <cfRule type="expression" dxfId="1861" priority="13" stopIfTrue="1">
      <formula>BF61="Land"</formula>
    </cfRule>
  </conditionalFormatting>
  <conditionalFormatting sqref="BQ61:BQ70">
    <cfRule type="expression" dxfId="1860" priority="10" stopIfTrue="1">
      <formula>BQ61="Water"</formula>
    </cfRule>
    <cfRule type="expression" dxfId="1859" priority="11" stopIfTrue="1">
      <formula>BQ61="Land"</formula>
    </cfRule>
  </conditionalFormatting>
  <conditionalFormatting sqref="BQ60">
    <cfRule type="expression" dxfId="1858" priority="6" stopIfTrue="1">
      <formula>BQ61="Water"</formula>
    </cfRule>
    <cfRule type="expression" dxfId="1857" priority="7" stopIfTrue="1">
      <formula>BG60="Water"</formula>
    </cfRule>
    <cfRule type="expression" dxfId="1856" priority="8" stopIfTrue="1">
      <formula>BG60="Land"</formula>
    </cfRule>
    <cfRule type="expression" dxfId="1855" priority="9" stopIfTrue="1">
      <formula>BQ61="Land"</formula>
    </cfRule>
  </conditionalFormatting>
  <conditionalFormatting sqref="BF60">
    <cfRule type="expression" dxfId="1854" priority="2" stopIfTrue="1">
      <formula>BG60="Water"</formula>
    </cfRule>
    <cfRule type="expression" dxfId="1853" priority="3" stopIfTrue="1">
      <formula>BF61="Water"</formula>
    </cfRule>
    <cfRule type="expression" dxfId="1852" priority="4" stopIfTrue="1">
      <formula>BG60="Land"</formula>
    </cfRule>
    <cfRule type="expression" dxfId="1851" priority="5" stopIfTrue="1">
      <formula>BF61="Land"</formula>
    </cfRule>
  </conditionalFormatting>
  <conditionalFormatting sqref="BH62:BO69">
    <cfRule type="expression" dxfId="1850" priority="1">
      <formula>BH62&lt;&gt;""</formula>
    </cfRule>
  </conditionalFormatting>
  <dataValidations count="3">
    <dataValidation type="list" allowBlank="1" showInputMessage="1" showErrorMessage="1" sqref="D10 AU49:AV50 AX49:AY50 AU52:AV53 AX52:AY53 BA49:BB50 BA52:BB53 AU55:AV56 AX55:AY56 BA55:BB56 AU36:AV37 AX36:AY37 AU39:AV40 AX39:AY40 BA36:BB37 BA39:BB40 AU42:AV43 AX42:AY43 BA42:BB43 AU23:AV24 AX23:AY24 AU26:AV27 AX26:AY27 BA23:BB24 BA26:BB27 AU29:AV30 AX29:AY30 BA29:BB30 AU10:AV11 AX10:AY11 AU13:AV14 AX13:AY14 BA10:BB11 BA13:BB14 AU16:AV17 AX16:AY17 BA16:BB17 AH49:AI50 AK49:AL50 AH52:AI53 AK52:AL53 AN49:AO50 AN52:AO53 AH55:AI56 AK55:AL56 AN55:AO56 U49:V50 X49:Y50 U52:V53 X52:Y53 AA49:AB50 AA52:AB53 U55:V56 X55:Y56 AA55:AB56 H49:I50 K49:L50 H52:I53 K52:L53 N49:O50 N52:O53 H55:I56 K55:L56 N55:O56 AH36:AI37 AK36:AL37 AH39:AI40 AK39:AL40 AN36:AO37 AN39:AO40 AH42:AI43 AK42:AL43 AN42:AO43 U36:V37 X36:Y37 U39:V40 X39:Y40 AA36:AB37 AA39:AB40 U42:V43 X42:Y43 AA42:AB43 H36:I37 K36:L37 H39:I40 K39:L40 N36:O37 N39:O40 H42:I43 K42:L43 N42:O43 AH23:AI24 AK23:AL24 AH26:AI27 AK26:AL27 AN23:AO24 AN26:AO27 AH29:AI30 AK29:AL30 AN29:AO30 U23:V24 X23:Y24 U26:V27 X26:Y27 AA23:AB24 AA26:AB27 U29:V30 X29:Y30 AA29:AB30 H23:I24 K23:L24 H26:I27 K26:L27 N23:O24 N26:O27 H29:I30 K29:L30 N29:O30 AH10:AI11 AK10:AL11 AH13:AI14 AK13:AL14 AN10:AO11 AN13:AO14 AH16:AI17 AK16:AL17 AN16:AO17 U10:V11 X10:Y11 U13:V14 X13:Y14 AA10:AB11 AA13:AB14 U16:V17 X16:Y17 AA16:AB17 H10:I11 K10:L11 H13:I14 K13:L14 N10:O11 N13:O14 H16:I17 K16:L17 N16:O17 AU62:AV63 AX62:AY63 AU65:AV66 AX65:AY66 BA62:BB63 BA65:BB66 AU68:AV69 AX68:AY69 BA68:BB69 AH62:AI63 AK62:AL63 AH65:AI66 AK65:AL66 AN62:AO63 AN65:AO66 AH68:AI69 AK68:AL69 AN68:AO69 U62:V63 X62:Y63 U65:V66 X65:Y66 AA62:AB63 AA65:AB66 U68:V69 X68:Y69 AA68:AB69 H62:I63 K62:L63 H65:I66 K65:L66 N62:O63 N65:O66 H68:I69 K68:L69 N68:O69 BH49:BI50 BK49:BL50 BH52:BI53 BK52:BL53 BN49:BO50 BN52:BO53 BH55:BI56 BK55:BL56 BN55:BO56 BH36:BI37 BK36:BL37 BH39:BI40 BK39:BL40 BN36:BO37 BN39:BO40 BH42:BI43 BK42:BL43 BN42:BO43 BH23:BI24 BK23:BL24 BH26:BI27 BK26:BL27 BN23:BO24 BN26:BO27 BH29:BI30 BK29:BL30 BN29:BO30 BH10:BI11 BK10:BL11 BH13:BI14 BK13:BL14 BN10:BO11 BN13:BO14 BH16:BI17 BK16:BL17 BN16:BO17 BH62:BI63 BK62:BL63 BH65:BI66 BK65:BL66 BN62:BO63 BN65:BO66 BH68:BI69 BK68:BL69 BN68:BO69">
      <formula1>$A$9:$A$65</formula1>
    </dataValidation>
    <dataValidation type="list" allowBlank="1" showInputMessage="1" showErrorMessage="1" sqref="H9:O9 BC49:BC56 AT49:AT56 AU57:BB57 AU48:BB48 BC36:BC43 AT36:AT43 AU44:BB44 AU35:BB35 BC23:BC30 AT23:AT30 AU31:BB31 AU22:BB22 BC10:BC17 AT10:AT17 AU18:BB18 AU9:BB9 AP49:AP56 AG49:AG56 AH57:AO57 AH48:AO48 AC49:AC56 T49:T56 U57:AB57 U48:AB48 P49:P56 G49:G56 H57:O57 H48:O48 AP36:AP43 AG36:AG43 AH44:AO44 AH35:AO35 AC36:AC43 T36:T43 U44:AB44 U35:AB35 P36:P43 G36:G43 H44:O44 H35:O35 AP23:AP30 AG23:AG30 AH31:AO31 AH22:AO22 AC23:AC30 T23:T30 U31:AB31 U22:AB22 P23:P30 G23:G30 H31:O31 H22:O22 AP10:AP17 AG10:AG17 AH18:AO18 AH9:AO9 AC10:AC17 T10:T17 U18:AB18 U9:AB9 P10:P17 G10:G17 H18:O18 BC62:BC69 AT62:AT69 AU70:BB70 AU61:BB61 AP62:AP69 AG62:AG69 AH70:AO70 AH61:AO61 AC62:AC69 T62:T69 U70:AB70 U61:AB61 P62:P69 G62:G69 H70:O70 H61:O61 BP49:BP56 BG49:BG56 BH57:BO57 BH48:BO48 BP36:BP43 BG36:BG43 BH44:BO44 BH35:BO35 BP23:BP30 BG23:BG30 BH31:BO31 BH22:BO22 BP10:BP17 BG10:BG17 BH18:BO18 BH9:BO9 BP62:BP69 BG62:BG69 BH70:BO70 BH61:BO61">
      <formula1>$B$9:$B$10</formula1>
    </dataValidation>
    <dataValidation type="list" allowBlank="1" showInputMessage="1" showErrorMessage="1" sqref="G19:P19 AT47:BC47 BD48:BD57 AS48:AS57 AT58:BC58 AT34:BC34 BD35:BD44 AS35:AS44 AT45:BC45 AT21:BC21 BD22:BD31 AS22:AS31 AT32:BC32 AT8:BC8 BD9:BD18 AS9:AS18 AT19:BC19 AG47:AP47 AQ48:AQ57 AF48:AF57 AG58:AP58 T47:AC47 AD48:AD57 S48:S57 T58:AC58 G47:P47 Q48:Q57 F48:F57 G58:P58 AG34:AP34 AQ35:AQ44 AF35:AF44 AG45:AP45 T34:AC34 AD35:AD44 S35:S44 T45:AC45 G34:P34 Q35:Q44 F35:F44 G45:P45 AG21:AP21 AQ22:AQ31 AF22:AF31 AG32:AP32 T21:AC21 AD22:AD31 S22:S31 T32:AC32 G21:P21 Q22:Q31 F22:F31 G32:P32 AG8:AP8 AQ9:AQ18 AF9:AF18 AG19:AP19 T8:AC8 AD9:AD18 S9:S18 T19:AC19 G8:P8 Q9:Q18 F9:F18 AT60:BC60 BD61:BD70 AS61:AS70 AT71:BC71 AG60:AP60 AQ61:AQ70 AF61:AF70 AG71:AP71 T60:AC60 AD61:AD70 S61:S70 T71:AC71 G60:P60 Q61:Q70 F61:F70 G71:P71 BG47:BP47 BQ48:BQ57 BF48:BF57 BG58:BP58 BG34:BP34 BQ35:BQ44 BF35:BF44 BG45:BP45 BG21:BP21 BQ22:BQ31 BF22:BF31 BG32:BP32 BG8:BP8 BQ9:BQ18 BF9:BF18 BG19:BP19 BG60:BP60 BQ61:BQ70 BF61:BF70 BG71:BP71">
      <formula1>$C$9:$C$10</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horizontalDpi="4294967294" verticalDpi="0" r:id="rId1"/>
  <headerFooter>
    <oddHeader>&amp;A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H73"/>
  <sheetViews>
    <sheetView zoomScale="80" zoomScaleNormal="80" workbookViewId="0">
      <selection activeCell="D2" sqref="D2:T2"/>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288"/>
      <c r="V2" s="288"/>
      <c r="W2" s="288"/>
      <c r="X2" s="288"/>
      <c r="Y2" s="288"/>
      <c r="Z2" s="288"/>
      <c r="AA2" s="288"/>
      <c r="AB2" s="288"/>
      <c r="AC2" s="288"/>
      <c r="AD2" s="288"/>
      <c r="AF2" s="454" t="s">
        <v>96</v>
      </c>
      <c r="AG2" s="454"/>
      <c r="AH2" s="454"/>
      <c r="AI2" s="5"/>
      <c r="AJ2" s="46">
        <f>IF((BC66+IF(D2&lt;&gt;0,200,0))&gt;16000,16000, (BC66+IF(D2&lt;&gt;0,200,0)))</f>
        <v>0</v>
      </c>
      <c r="AK2" s="288"/>
      <c r="AL2" s="288"/>
      <c r="AM2" s="288"/>
      <c r="AN2" s="288"/>
      <c r="AO2" s="288"/>
      <c r="AP2" s="288"/>
      <c r="AQ2" s="288"/>
      <c r="AR2" s="288"/>
      <c r="AS2" s="288"/>
      <c r="AT2" s="28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290"/>
      <c r="AK3" s="11"/>
      <c r="AL3" s="11"/>
      <c r="AM3" s="11"/>
      <c r="AN3" s="11"/>
      <c r="AO3" s="11"/>
      <c r="AP3" s="11"/>
      <c r="AQ3" s="11"/>
      <c r="AR3" s="11"/>
      <c r="AS3" s="11"/>
      <c r="AT3" s="11"/>
      <c r="AU3" s="22"/>
    </row>
    <row r="4" spans="1:58" ht="15.75" thickBot="1" x14ac:dyDescent="0.3">
      <c r="A4" s="19"/>
      <c r="B4" s="292"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75" customHeight="1" thickBot="1" x14ac:dyDescent="0.3">
      <c r="A6" s="19"/>
      <c r="B6" s="292"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290"/>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290"/>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289"/>
      <c r="AL8" s="289"/>
      <c r="AM8" s="289"/>
      <c r="AN8" s="289"/>
      <c r="AO8" s="289"/>
      <c r="AP8" s="289"/>
      <c r="AQ8" s="289"/>
      <c r="AR8" s="289"/>
      <c r="AS8" s="289"/>
      <c r="AT8" s="289"/>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288"/>
      <c r="F11" s="288"/>
      <c r="G11" s="288"/>
      <c r="H11" s="288"/>
      <c r="I11" s="288"/>
      <c r="J11" s="288"/>
      <c r="K11" s="288"/>
      <c r="L11" s="288"/>
      <c r="M11" s="288"/>
      <c r="N11" s="288"/>
      <c r="R11" s="5"/>
      <c r="T11" s="5"/>
      <c r="U11" s="288"/>
      <c r="V11" s="288"/>
      <c r="W11" s="288"/>
      <c r="X11" s="288"/>
      <c r="Y11" s="288"/>
      <c r="Z11" s="288"/>
      <c r="AA11" s="288"/>
      <c r="AB11" s="288"/>
      <c r="AC11" s="288"/>
      <c r="AD11" s="288"/>
      <c r="AF11" s="72"/>
      <c r="AG11" s="72"/>
      <c r="AH11" s="72"/>
      <c r="AI11" s="5"/>
      <c r="AJ11" s="5"/>
      <c r="AK11" s="288"/>
      <c r="AL11" s="288"/>
      <c r="AM11" s="288"/>
      <c r="AN11" s="288"/>
      <c r="AO11" s="288"/>
      <c r="AP11" s="288"/>
      <c r="AQ11" s="288"/>
      <c r="AR11" s="288"/>
      <c r="AS11" s="288"/>
      <c r="AT11" s="28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288"/>
      <c r="F13" s="288"/>
      <c r="G13" s="288"/>
      <c r="H13" s="288"/>
      <c r="I13" s="288"/>
      <c r="J13" s="288"/>
      <c r="K13" s="288"/>
      <c r="L13" s="288"/>
      <c r="M13" s="288"/>
      <c r="N13" s="288"/>
      <c r="R13" s="5"/>
      <c r="T13" s="5"/>
      <c r="U13" s="288"/>
      <c r="V13" s="288"/>
      <c r="W13" s="288"/>
      <c r="X13" s="288"/>
      <c r="Y13" s="288"/>
      <c r="Z13" s="288"/>
      <c r="AA13" s="288"/>
      <c r="AB13" s="288"/>
      <c r="AC13" s="288"/>
      <c r="AD13" s="288"/>
      <c r="AF13" s="72"/>
      <c r="AG13" s="72"/>
      <c r="AH13" s="72"/>
      <c r="AI13" s="5"/>
      <c r="AJ13" s="5"/>
      <c r="AK13" s="288"/>
      <c r="AL13" s="288"/>
      <c r="AM13" s="288"/>
      <c r="AN13" s="288"/>
      <c r="AO13" s="288"/>
      <c r="AP13" s="288"/>
      <c r="AQ13" s="288"/>
      <c r="AR13" s="288"/>
      <c r="AS13" s="288"/>
      <c r="AT13" s="28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292" t="s">
        <v>16</v>
      </c>
      <c r="Q14" s="292"/>
      <c r="R14" s="292"/>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288"/>
      <c r="F15" s="288"/>
      <c r="G15" s="288"/>
      <c r="H15" s="288"/>
      <c r="I15" s="288"/>
      <c r="J15" s="288"/>
      <c r="K15" s="288"/>
      <c r="L15" s="288"/>
      <c r="M15" s="288"/>
      <c r="N15" s="288"/>
      <c r="P15" s="72"/>
      <c r="Q15" s="72"/>
      <c r="R15" s="72"/>
      <c r="T15" s="5"/>
      <c r="U15" s="288"/>
      <c r="V15" s="288"/>
      <c r="W15" s="288"/>
      <c r="X15" s="288"/>
      <c r="Y15" s="288"/>
      <c r="Z15" s="288"/>
      <c r="AA15" s="288"/>
      <c r="AB15" s="288"/>
      <c r="AC15" s="288"/>
      <c r="AD15" s="288"/>
      <c r="AF15" s="72"/>
      <c r="AG15" s="72"/>
      <c r="AH15" s="72"/>
      <c r="AI15" s="5"/>
      <c r="AJ15" s="5"/>
      <c r="AK15" s="288"/>
      <c r="AL15" s="288"/>
      <c r="AM15" s="288"/>
      <c r="AN15" s="288"/>
      <c r="AO15" s="288"/>
      <c r="AP15" s="288"/>
      <c r="AQ15" s="288"/>
      <c r="AR15" s="288"/>
      <c r="AS15" s="288"/>
      <c r="AT15" s="28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292" t="s">
        <v>17</v>
      </c>
      <c r="Q16" s="292"/>
      <c r="R16" s="292"/>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288"/>
      <c r="F17" s="288"/>
      <c r="G17" s="288"/>
      <c r="H17" s="288"/>
      <c r="I17" s="288"/>
      <c r="J17" s="288"/>
      <c r="K17" s="288"/>
      <c r="L17" s="288"/>
      <c r="M17" s="288"/>
      <c r="N17" s="288"/>
      <c r="P17" s="72"/>
      <c r="Q17" s="72"/>
      <c r="R17" s="72"/>
      <c r="T17" s="5"/>
      <c r="U17" s="288"/>
      <c r="V17" s="288"/>
      <c r="W17" s="288"/>
      <c r="X17" s="288"/>
      <c r="Y17" s="288"/>
      <c r="Z17" s="288"/>
      <c r="AA17" s="288"/>
      <c r="AB17" s="288"/>
      <c r="AC17" s="288"/>
      <c r="AD17" s="288"/>
      <c r="AF17" s="72"/>
      <c r="AG17" s="72"/>
      <c r="AH17" s="72"/>
      <c r="AI17" s="5"/>
      <c r="AJ17" s="5"/>
      <c r="AK17" s="288"/>
      <c r="AL17" s="288"/>
      <c r="AM17" s="288"/>
      <c r="AN17" s="288"/>
      <c r="AO17" s="288"/>
      <c r="AP17" s="288"/>
      <c r="AQ17" s="288"/>
      <c r="AR17" s="288"/>
      <c r="AS17" s="288"/>
      <c r="AT17" s="28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292" t="s">
        <v>18</v>
      </c>
      <c r="Q18" s="292"/>
      <c r="R18" s="292"/>
      <c r="T18" s="57"/>
      <c r="U18" s="73">
        <v>1</v>
      </c>
      <c r="V18" s="73">
        <v>1</v>
      </c>
      <c r="W18" s="73"/>
      <c r="X18" s="73"/>
      <c r="Y18" s="73"/>
      <c r="Z18" s="73">
        <v>1</v>
      </c>
      <c r="AA18" s="73">
        <v>500</v>
      </c>
      <c r="AB18" s="73"/>
      <c r="AC18" s="73"/>
      <c r="AD18" s="73"/>
      <c r="AF18" s="292" t="s">
        <v>33</v>
      </c>
      <c r="AG18" s="292"/>
      <c r="AH18" s="292"/>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288"/>
      <c r="F19" s="288"/>
      <c r="G19" s="288"/>
      <c r="H19" s="288"/>
      <c r="I19" s="288"/>
      <c r="J19" s="288"/>
      <c r="K19" s="288"/>
      <c r="L19" s="288"/>
      <c r="M19" s="288"/>
      <c r="N19" s="288"/>
      <c r="P19" s="72"/>
      <c r="Q19" s="72"/>
      <c r="R19" s="72"/>
      <c r="T19" s="5"/>
      <c r="U19" s="288"/>
      <c r="V19" s="288"/>
      <c r="W19" s="288"/>
      <c r="X19" s="288"/>
      <c r="Y19" s="288"/>
      <c r="Z19" s="288"/>
      <c r="AA19" s="288"/>
      <c r="AB19" s="288"/>
      <c r="AC19" s="288"/>
      <c r="AD19" s="288"/>
      <c r="AF19" s="72"/>
      <c r="AG19" s="72"/>
      <c r="AH19" s="72"/>
      <c r="AI19" s="5"/>
      <c r="AJ19" s="5"/>
      <c r="AK19" s="288"/>
      <c r="AL19" s="288"/>
      <c r="AM19" s="288"/>
      <c r="AN19" s="288"/>
      <c r="AO19" s="288"/>
      <c r="AP19" s="288"/>
      <c r="AQ19" s="288"/>
      <c r="AR19" s="288"/>
      <c r="AS19" s="288"/>
      <c r="AT19" s="28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292" t="s">
        <v>19</v>
      </c>
      <c r="Q20" s="292"/>
      <c r="R20" s="292"/>
      <c r="T20" s="57"/>
      <c r="U20" s="73"/>
      <c r="V20" s="73">
        <v>2</v>
      </c>
      <c r="W20" s="73">
        <v>2</v>
      </c>
      <c r="X20" s="73"/>
      <c r="Y20" s="73">
        <v>-2</v>
      </c>
      <c r="Z20" s="73">
        <v>1</v>
      </c>
      <c r="AA20" s="73"/>
      <c r="AB20" s="73"/>
      <c r="AC20" s="73"/>
      <c r="AD20" s="73"/>
      <c r="AF20" s="292" t="s">
        <v>34</v>
      </c>
      <c r="AG20" s="292"/>
      <c r="AH20" s="292"/>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288"/>
      <c r="F21" s="288"/>
      <c r="G21" s="288"/>
      <c r="H21" s="288"/>
      <c r="I21" s="288"/>
      <c r="J21" s="288"/>
      <c r="K21" s="288"/>
      <c r="L21" s="288"/>
      <c r="M21" s="288"/>
      <c r="N21" s="288"/>
      <c r="P21" s="72"/>
      <c r="Q21" s="72"/>
      <c r="R21" s="72"/>
      <c r="T21" s="5"/>
      <c r="U21" s="288"/>
      <c r="V21" s="288"/>
      <c r="W21" s="288"/>
      <c r="X21" s="288"/>
      <c r="Y21" s="288"/>
      <c r="Z21" s="288"/>
      <c r="AA21" s="288"/>
      <c r="AB21" s="288"/>
      <c r="AC21" s="288"/>
      <c r="AD21" s="288"/>
      <c r="AF21" s="72"/>
      <c r="AG21" s="72"/>
      <c r="AH21" s="72"/>
      <c r="AI21" s="5"/>
      <c r="AJ21" s="5"/>
      <c r="AK21" s="288"/>
      <c r="AL21" s="288"/>
      <c r="AM21" s="288"/>
      <c r="AN21" s="288"/>
      <c r="AO21" s="288"/>
      <c r="AP21" s="288"/>
      <c r="AQ21" s="288"/>
      <c r="AR21" s="288"/>
      <c r="AS21" s="288"/>
      <c r="AT21" s="28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292" t="s">
        <v>20</v>
      </c>
      <c r="Q22" s="292"/>
      <c r="R22" s="292"/>
      <c r="T22" s="57"/>
      <c r="U22" s="73">
        <v>1</v>
      </c>
      <c r="V22" s="73">
        <v>1</v>
      </c>
      <c r="W22" s="73"/>
      <c r="X22" s="73"/>
      <c r="Y22" s="73"/>
      <c r="Z22" s="73">
        <v>1</v>
      </c>
      <c r="AA22" s="73"/>
      <c r="AB22" s="73"/>
      <c r="AC22" s="73"/>
      <c r="AD22" s="73"/>
      <c r="AF22" s="292" t="s">
        <v>35</v>
      </c>
      <c r="AG22" s="292"/>
      <c r="AH22" s="292"/>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288"/>
      <c r="F23" s="288"/>
      <c r="G23" s="288"/>
      <c r="H23" s="288"/>
      <c r="I23" s="288"/>
      <c r="J23" s="288"/>
      <c r="K23" s="288"/>
      <c r="L23" s="288"/>
      <c r="M23" s="288"/>
      <c r="N23" s="288"/>
      <c r="O23" s="11"/>
      <c r="P23" s="72"/>
      <c r="Q23" s="72"/>
      <c r="R23" s="72"/>
      <c r="T23" s="11"/>
      <c r="U23" s="288"/>
      <c r="V23" s="288"/>
      <c r="W23" s="288"/>
      <c r="X23" s="288"/>
      <c r="Y23" s="288"/>
      <c r="Z23" s="288"/>
      <c r="AA23" s="288"/>
      <c r="AB23" s="288"/>
      <c r="AC23" s="288"/>
      <c r="AD23" s="288"/>
      <c r="AF23" s="72"/>
      <c r="AG23" s="72"/>
      <c r="AH23" s="72"/>
      <c r="AI23" s="5"/>
      <c r="AJ23" s="5"/>
      <c r="AK23" s="288"/>
      <c r="AL23" s="288"/>
      <c r="AM23" s="288"/>
      <c r="AN23" s="288"/>
      <c r="AO23" s="288"/>
      <c r="AP23" s="288"/>
      <c r="AQ23" s="288"/>
      <c r="AR23" s="288"/>
      <c r="AS23" s="288"/>
      <c r="AT23" s="28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292" t="s">
        <v>21</v>
      </c>
      <c r="Q24" s="292"/>
      <c r="R24" s="292"/>
      <c r="T24" s="57"/>
      <c r="U24" s="73">
        <v>1</v>
      </c>
      <c r="V24" s="73"/>
      <c r="W24" s="73"/>
      <c r="X24" s="73"/>
      <c r="Y24" s="73"/>
      <c r="Z24" s="73">
        <v>1</v>
      </c>
      <c r="AA24" s="73">
        <v>2000</v>
      </c>
      <c r="AB24" s="73">
        <v>2</v>
      </c>
      <c r="AC24" s="73"/>
      <c r="AD24" s="73"/>
      <c r="AF24" s="292" t="s">
        <v>36</v>
      </c>
      <c r="AG24" s="292"/>
      <c r="AH24" s="292"/>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291"/>
      <c r="F25" s="291"/>
      <c r="G25" s="291"/>
      <c r="H25" s="291"/>
      <c r="I25" s="291"/>
      <c r="J25" s="291"/>
      <c r="K25" s="291"/>
      <c r="L25" s="291"/>
      <c r="M25" s="291"/>
      <c r="N25" s="291"/>
      <c r="P25" s="72"/>
      <c r="Q25" s="72"/>
      <c r="R25" s="72"/>
      <c r="T25" s="5"/>
      <c r="U25" s="291"/>
      <c r="V25" s="291"/>
      <c r="W25" s="291"/>
      <c r="X25" s="291"/>
      <c r="Y25" s="291"/>
      <c r="Z25" s="291"/>
      <c r="AA25" s="291"/>
      <c r="AB25" s="291"/>
      <c r="AC25" s="291"/>
      <c r="AD25" s="291"/>
      <c r="AF25" s="72"/>
      <c r="AG25" s="72"/>
      <c r="AH25" s="72"/>
      <c r="AI25" s="5"/>
      <c r="AJ25" s="5"/>
      <c r="AK25" s="291"/>
      <c r="AL25" s="291"/>
      <c r="AM25" s="291"/>
      <c r="AN25" s="291"/>
      <c r="AO25" s="291"/>
      <c r="AP25" s="291"/>
      <c r="AQ25" s="291"/>
      <c r="AR25" s="291"/>
      <c r="AS25" s="291"/>
      <c r="AT25" s="291"/>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292" t="s">
        <v>37</v>
      </c>
      <c r="AG26" s="292"/>
      <c r="AH26" s="292"/>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288"/>
      <c r="F27" s="288"/>
      <c r="G27" s="288"/>
      <c r="H27" s="288"/>
      <c r="I27" s="288"/>
      <c r="J27" s="288">
        <v>4</v>
      </c>
      <c r="K27" s="288"/>
      <c r="L27" s="288"/>
      <c r="M27" s="288"/>
      <c r="N27" s="288"/>
      <c r="P27" s="62"/>
      <c r="Q27" s="62"/>
      <c r="R27" s="62"/>
      <c r="T27" s="5"/>
      <c r="U27" s="288"/>
      <c r="V27" s="288"/>
      <c r="W27" s="288"/>
      <c r="X27" s="288"/>
      <c r="Y27" s="288"/>
      <c r="Z27" s="288"/>
      <c r="AA27" s="288"/>
      <c r="AB27" s="288"/>
      <c r="AC27" s="288"/>
      <c r="AD27" s="288"/>
      <c r="AF27" s="72"/>
      <c r="AG27" s="72"/>
      <c r="AH27" s="72"/>
      <c r="AI27" s="5"/>
      <c r="AJ27" s="5"/>
      <c r="AK27" s="288"/>
      <c r="AL27" s="288"/>
      <c r="AM27" s="288"/>
      <c r="AN27" s="288"/>
      <c r="AO27" s="288"/>
      <c r="AP27" s="288"/>
      <c r="AQ27" s="288"/>
      <c r="AR27" s="288"/>
      <c r="AS27" s="288"/>
      <c r="AT27" s="28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292" t="s">
        <v>23</v>
      </c>
      <c r="Q28" s="292"/>
      <c r="R28" s="292"/>
      <c r="T28" s="57"/>
      <c r="U28" s="73"/>
      <c r="V28" s="73"/>
      <c r="W28" s="73">
        <v>1</v>
      </c>
      <c r="X28" s="73"/>
      <c r="Y28" s="73"/>
      <c r="Z28" s="73">
        <v>1</v>
      </c>
      <c r="AA28" s="73"/>
      <c r="AB28" s="73"/>
      <c r="AC28" s="73"/>
      <c r="AD28" s="73"/>
      <c r="AF28" s="292" t="s">
        <v>38</v>
      </c>
      <c r="AG28" s="292"/>
      <c r="AH28" s="292"/>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288"/>
      <c r="F29" s="288"/>
      <c r="G29" s="288"/>
      <c r="H29" s="288"/>
      <c r="I29" s="288"/>
      <c r="J29" s="288"/>
      <c r="K29" s="288"/>
      <c r="L29" s="288"/>
      <c r="M29" s="288"/>
      <c r="N29" s="288"/>
      <c r="P29" s="72"/>
      <c r="Q29" s="72"/>
      <c r="R29" s="72"/>
      <c r="T29" s="5"/>
      <c r="U29" s="288"/>
      <c r="V29" s="288"/>
      <c r="W29" s="288"/>
      <c r="X29" s="288"/>
      <c r="Y29" s="288"/>
      <c r="Z29" s="288"/>
      <c r="AA29" s="288"/>
      <c r="AB29" s="288"/>
      <c r="AC29" s="288"/>
      <c r="AD29" s="288"/>
      <c r="AF29" s="72"/>
      <c r="AG29" s="72"/>
      <c r="AH29" s="72"/>
      <c r="AI29" s="5"/>
      <c r="AJ29" s="5"/>
      <c r="AK29" s="288"/>
      <c r="AL29" s="288"/>
      <c r="AM29" s="288"/>
      <c r="AN29" s="288"/>
      <c r="AO29" s="288"/>
      <c r="AP29" s="288"/>
      <c r="AQ29" s="288"/>
      <c r="AR29" s="288"/>
      <c r="AS29" s="288"/>
      <c r="AT29" s="28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292" t="s">
        <v>24</v>
      </c>
      <c r="Q30" s="292"/>
      <c r="R30" s="292"/>
      <c r="T30" s="57"/>
      <c r="U30" s="73">
        <v>2</v>
      </c>
      <c r="V30" s="73"/>
      <c r="W30" s="73">
        <v>2</v>
      </c>
      <c r="X30" s="73"/>
      <c r="Y30" s="73"/>
      <c r="Z30" s="73">
        <v>2</v>
      </c>
      <c r="AA30" s="73">
        <v>2000</v>
      </c>
      <c r="AB30" s="73">
        <v>2</v>
      </c>
      <c r="AC30" s="73"/>
      <c r="AD30" s="73"/>
      <c r="AF30" s="292" t="s">
        <v>39</v>
      </c>
      <c r="AG30" s="292"/>
      <c r="AH30" s="292"/>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288"/>
      <c r="F31" s="288"/>
      <c r="G31" s="288"/>
      <c r="H31" s="288"/>
      <c r="I31" s="288"/>
      <c r="J31" s="288"/>
      <c r="K31" s="288"/>
      <c r="L31" s="288"/>
      <c r="M31" s="288"/>
      <c r="N31" s="288"/>
      <c r="P31" s="72"/>
      <c r="Q31" s="72"/>
      <c r="R31" s="72"/>
      <c r="T31" s="5"/>
      <c r="U31" s="288"/>
      <c r="V31" s="288"/>
      <c r="W31" s="288"/>
      <c r="X31" s="288"/>
      <c r="Y31" s="288"/>
      <c r="Z31" s="288"/>
      <c r="AA31" s="288"/>
      <c r="AB31" s="288"/>
      <c r="AC31" s="288"/>
      <c r="AD31" s="288"/>
      <c r="AF31" s="72"/>
      <c r="AG31" s="72"/>
      <c r="AH31" s="72"/>
      <c r="AI31" s="5"/>
      <c r="AJ31" s="5"/>
      <c r="AK31" s="288"/>
      <c r="AL31" s="288"/>
      <c r="AM31" s="288"/>
      <c r="AN31" s="288"/>
      <c r="AO31" s="288"/>
      <c r="AP31" s="288"/>
      <c r="AQ31" s="288"/>
      <c r="AR31" s="288"/>
      <c r="AS31" s="288"/>
      <c r="AT31" s="28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292" t="s">
        <v>25</v>
      </c>
      <c r="Q32" s="292"/>
      <c r="R32" s="292"/>
      <c r="T32" s="57"/>
      <c r="U32" s="73">
        <v>1</v>
      </c>
      <c r="V32" s="73"/>
      <c r="W32" s="73">
        <v>1</v>
      </c>
      <c r="X32" s="73"/>
      <c r="Y32" s="73"/>
      <c r="Z32" s="73">
        <v>1</v>
      </c>
      <c r="AA32" s="73"/>
      <c r="AB32" s="73"/>
      <c r="AC32" s="73"/>
      <c r="AD32" s="73"/>
      <c r="AF32" s="292" t="s">
        <v>40</v>
      </c>
      <c r="AG32" s="292"/>
      <c r="AH32" s="292"/>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288"/>
      <c r="F33" s="288"/>
      <c r="G33" s="288"/>
      <c r="H33" s="288"/>
      <c r="I33" s="288"/>
      <c r="J33" s="288"/>
      <c r="K33" s="288"/>
      <c r="L33" s="288"/>
      <c r="M33" s="288"/>
      <c r="N33" s="288"/>
      <c r="P33" s="72"/>
      <c r="Q33" s="72"/>
      <c r="R33" s="72"/>
      <c r="T33" s="5"/>
      <c r="U33" s="288"/>
      <c r="V33" s="288"/>
      <c r="W33" s="288"/>
      <c r="X33" s="288"/>
      <c r="Y33" s="288"/>
      <c r="Z33" s="288"/>
      <c r="AA33" s="288"/>
      <c r="AB33" s="288"/>
      <c r="AC33" s="288"/>
      <c r="AD33" s="288"/>
      <c r="AF33" s="72"/>
      <c r="AG33" s="72"/>
      <c r="AH33" s="72"/>
      <c r="AI33" s="5"/>
      <c r="AJ33" s="5"/>
      <c r="AK33" s="288"/>
      <c r="AL33" s="288"/>
      <c r="AM33" s="288"/>
      <c r="AN33" s="288"/>
      <c r="AO33" s="288"/>
      <c r="AP33" s="288"/>
      <c r="AQ33" s="288"/>
      <c r="AR33" s="288"/>
      <c r="AS33" s="288"/>
      <c r="AT33" s="28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292" t="s">
        <v>26</v>
      </c>
      <c r="Q34" s="292"/>
      <c r="R34" s="292"/>
      <c r="T34" s="57"/>
      <c r="U34" s="73"/>
      <c r="V34" s="73">
        <v>3</v>
      </c>
      <c r="W34" s="73"/>
      <c r="X34" s="73"/>
      <c r="Y34" s="73">
        <v>-1</v>
      </c>
      <c r="Z34" s="73">
        <v>1</v>
      </c>
      <c r="AA34" s="73"/>
      <c r="AB34" s="73"/>
      <c r="AC34" s="73"/>
      <c r="AD34" s="73"/>
      <c r="AF34" s="292" t="s">
        <v>41</v>
      </c>
      <c r="AG34" s="292"/>
      <c r="AH34" s="292"/>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288"/>
      <c r="F35" s="288"/>
      <c r="G35" s="288"/>
      <c r="H35" s="288"/>
      <c r="I35" s="288"/>
      <c r="J35" s="288"/>
      <c r="K35" s="288"/>
      <c r="L35" s="288"/>
      <c r="M35" s="288"/>
      <c r="N35" s="288"/>
      <c r="P35" s="72"/>
      <c r="Q35" s="72"/>
      <c r="R35" s="72"/>
      <c r="T35" s="5"/>
      <c r="U35" s="288"/>
      <c r="V35" s="288"/>
      <c r="W35" s="288"/>
      <c r="X35" s="288"/>
      <c r="Y35" s="288"/>
      <c r="Z35" s="288"/>
      <c r="AA35" s="288"/>
      <c r="AB35" s="288"/>
      <c r="AC35" s="288"/>
      <c r="AD35" s="288"/>
      <c r="AF35" s="72"/>
      <c r="AG35" s="72"/>
      <c r="AH35" s="72"/>
      <c r="AI35" s="5"/>
      <c r="AJ35" s="5"/>
      <c r="AK35" s="288"/>
      <c r="AL35" s="288"/>
      <c r="AM35" s="288"/>
      <c r="AN35" s="288"/>
      <c r="AO35" s="288"/>
      <c r="AP35" s="288"/>
      <c r="AQ35" s="288"/>
      <c r="AR35" s="288"/>
      <c r="AS35" s="288"/>
      <c r="AT35" s="28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292" t="s">
        <v>27</v>
      </c>
      <c r="Q36" s="292"/>
      <c r="R36" s="292"/>
      <c r="T36" s="57"/>
      <c r="U36" s="73">
        <v>1</v>
      </c>
      <c r="V36" s="73">
        <v>1</v>
      </c>
      <c r="W36" s="73">
        <v>1</v>
      </c>
      <c r="X36" s="73"/>
      <c r="Y36" s="73"/>
      <c r="Z36" s="73">
        <v>2</v>
      </c>
      <c r="AA36" s="73"/>
      <c r="AB36" s="73"/>
      <c r="AC36" s="73"/>
      <c r="AD36" s="73"/>
      <c r="AF36" s="292" t="s">
        <v>42</v>
      </c>
      <c r="AG36" s="292"/>
      <c r="AH36" s="292"/>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288"/>
      <c r="F37" s="288"/>
      <c r="G37" s="288"/>
      <c r="H37" s="288"/>
      <c r="I37" s="288"/>
      <c r="J37" s="288"/>
      <c r="K37" s="288"/>
      <c r="L37" s="288"/>
      <c r="M37" s="288"/>
      <c r="N37" s="288"/>
      <c r="P37" s="72"/>
      <c r="Q37" s="72"/>
      <c r="R37" s="72"/>
      <c r="T37" s="5"/>
      <c r="U37" s="288"/>
      <c r="V37" s="288"/>
      <c r="W37" s="288"/>
      <c r="X37" s="288"/>
      <c r="Y37" s="288"/>
      <c r="Z37" s="288"/>
      <c r="AA37" s="288"/>
      <c r="AB37" s="288"/>
      <c r="AC37" s="288"/>
      <c r="AD37" s="288"/>
      <c r="AF37" s="72"/>
      <c r="AG37" s="72"/>
      <c r="AH37" s="72"/>
      <c r="AI37" s="5"/>
      <c r="AJ37" s="5"/>
      <c r="AK37" s="288"/>
      <c r="AL37" s="288"/>
      <c r="AM37" s="288"/>
      <c r="AN37" s="288"/>
      <c r="AO37" s="288"/>
      <c r="AP37" s="288"/>
      <c r="AQ37" s="288"/>
      <c r="AR37" s="288"/>
      <c r="AS37" s="288"/>
      <c r="AT37" s="28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292" t="s">
        <v>28</v>
      </c>
      <c r="Q38" s="292"/>
      <c r="R38" s="292"/>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290"/>
      <c r="AX39" s="290"/>
      <c r="AY39" s="290"/>
      <c r="AZ39" s="290"/>
      <c r="BA39" s="290"/>
      <c r="BB39" s="290">
        <f t="shared" si="0"/>
        <v>0</v>
      </c>
      <c r="BC39" s="290"/>
      <c r="BD39" s="290"/>
      <c r="BE39" s="290"/>
      <c r="BF39" s="290"/>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289"/>
      <c r="AL40" s="289"/>
      <c r="AM40" s="289"/>
      <c r="AN40" s="289"/>
      <c r="AO40" s="289"/>
      <c r="AP40" s="289"/>
      <c r="AQ40" s="289"/>
      <c r="AR40" s="289"/>
      <c r="AS40" s="289"/>
      <c r="AT40" s="289"/>
      <c r="AU40" s="18"/>
    </row>
    <row r="41" spans="1:60" ht="3" customHeight="1" thickBot="1" x14ac:dyDescent="0.3">
      <c r="A41" s="19"/>
      <c r="B41" s="72"/>
      <c r="D41" s="5"/>
      <c r="E41" s="288"/>
      <c r="F41" s="288"/>
      <c r="G41" s="288"/>
      <c r="H41" s="288"/>
      <c r="I41" s="288"/>
      <c r="J41" s="288">
        <v>4</v>
      </c>
      <c r="K41" s="288"/>
      <c r="L41" s="288"/>
      <c r="M41" s="288"/>
      <c r="N41" s="288"/>
      <c r="P41" s="62"/>
      <c r="Q41" s="62"/>
      <c r="R41" s="62"/>
      <c r="T41" s="5"/>
      <c r="U41" s="288"/>
      <c r="V41" s="288"/>
      <c r="W41" s="288"/>
      <c r="X41" s="288"/>
      <c r="Y41" s="288"/>
      <c r="Z41" s="288"/>
      <c r="AA41" s="288"/>
      <c r="AB41" s="288"/>
      <c r="AC41" s="288"/>
      <c r="AD41" s="288"/>
      <c r="AF41" s="72"/>
      <c r="AG41" s="72"/>
      <c r="AH41" s="72"/>
      <c r="AI41" s="5"/>
      <c r="AJ41" s="5"/>
      <c r="AK41" s="288"/>
      <c r="AL41" s="288"/>
      <c r="AM41" s="288"/>
      <c r="AN41" s="288"/>
      <c r="AO41" s="288"/>
      <c r="AP41" s="288"/>
      <c r="AQ41" s="288"/>
      <c r="AR41" s="288"/>
      <c r="AS41" s="288"/>
      <c r="AT41" s="288"/>
      <c r="AU41" s="18"/>
      <c r="AW41" s="290"/>
      <c r="AX41" s="290"/>
      <c r="AY41" s="290"/>
      <c r="AZ41" s="290"/>
      <c r="BA41" s="290"/>
      <c r="BB41" s="290">
        <f t="shared" ref="BB41:BB48" si="1">$D41*J41+$T41*Z41+$AJ41*AP41</f>
        <v>0</v>
      </c>
      <c r="BC41" s="290"/>
      <c r="BD41" s="290"/>
      <c r="BE41" s="290"/>
      <c r="BF41" s="290"/>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288"/>
      <c r="F43" s="288"/>
      <c r="G43" s="288"/>
      <c r="H43" s="288"/>
      <c r="I43" s="288"/>
      <c r="J43" s="288"/>
      <c r="K43" s="288"/>
      <c r="L43" s="288"/>
      <c r="M43" s="288"/>
      <c r="N43" s="288"/>
      <c r="P43" s="72"/>
      <c r="Q43" s="72"/>
      <c r="R43" s="72"/>
      <c r="T43" s="5"/>
      <c r="U43" s="288"/>
      <c r="V43" s="288"/>
      <c r="W43" s="288"/>
      <c r="X43" s="288"/>
      <c r="Y43" s="288"/>
      <c r="Z43" s="288"/>
      <c r="AA43" s="288"/>
      <c r="AB43" s="288"/>
      <c r="AC43" s="288"/>
      <c r="AD43" s="288"/>
      <c r="AF43" s="72"/>
      <c r="AG43" s="72"/>
      <c r="AH43" s="72"/>
      <c r="AI43" s="5"/>
      <c r="AJ43" s="5"/>
      <c r="AK43" s="288"/>
      <c r="AL43" s="288"/>
      <c r="AM43" s="288"/>
      <c r="AN43" s="288"/>
      <c r="AO43" s="288"/>
      <c r="AP43" s="288"/>
      <c r="AQ43" s="288"/>
      <c r="AR43" s="288"/>
      <c r="AS43" s="288"/>
      <c r="AT43" s="28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288"/>
      <c r="F45" s="288"/>
      <c r="G45" s="288"/>
      <c r="H45" s="288"/>
      <c r="I45" s="288"/>
      <c r="J45" s="288"/>
      <c r="K45" s="288"/>
      <c r="L45" s="288"/>
      <c r="M45" s="288"/>
      <c r="N45" s="288"/>
      <c r="P45" s="72"/>
      <c r="Q45" s="72"/>
      <c r="R45" s="72"/>
      <c r="T45" s="5"/>
      <c r="U45" s="288"/>
      <c r="V45" s="288"/>
      <c r="W45" s="288"/>
      <c r="X45" s="288"/>
      <c r="Y45" s="288"/>
      <c r="Z45" s="288"/>
      <c r="AA45" s="288"/>
      <c r="AB45" s="288"/>
      <c r="AC45" s="288"/>
      <c r="AD45" s="288"/>
      <c r="AF45" s="72"/>
      <c r="AG45" s="72"/>
      <c r="AH45" s="72"/>
      <c r="AI45" s="5"/>
      <c r="AJ45" s="5"/>
      <c r="AK45" s="288"/>
      <c r="AL45" s="288"/>
      <c r="AM45" s="288"/>
      <c r="AN45" s="288"/>
      <c r="AO45" s="288"/>
      <c r="AP45" s="288"/>
      <c r="AQ45" s="288"/>
      <c r="AR45" s="288"/>
      <c r="AS45" s="288"/>
      <c r="AT45" s="28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288"/>
      <c r="F47" s="288"/>
      <c r="G47" s="288"/>
      <c r="H47" s="288"/>
      <c r="I47" s="288"/>
      <c r="J47" s="288"/>
      <c r="K47" s="288"/>
      <c r="L47" s="288"/>
      <c r="M47" s="288"/>
      <c r="N47" s="288"/>
      <c r="P47" s="72"/>
      <c r="Q47" s="72"/>
      <c r="R47" s="72"/>
      <c r="T47" s="5"/>
      <c r="U47" s="288"/>
      <c r="V47" s="288"/>
      <c r="W47" s="288"/>
      <c r="X47" s="288"/>
      <c r="Y47" s="288"/>
      <c r="Z47" s="288"/>
      <c r="AA47" s="288"/>
      <c r="AB47" s="288"/>
      <c r="AC47" s="288"/>
      <c r="AD47" s="288"/>
      <c r="AF47" s="72"/>
      <c r="AG47" s="72"/>
      <c r="AH47" s="72"/>
      <c r="AI47" s="5"/>
      <c r="AJ47" s="5"/>
      <c r="AK47" s="288"/>
      <c r="AL47" s="288"/>
      <c r="AM47" s="288"/>
      <c r="AN47" s="288"/>
      <c r="AO47" s="288"/>
      <c r="AP47" s="288"/>
      <c r="AQ47" s="288"/>
      <c r="AR47" s="288"/>
      <c r="AS47" s="288"/>
      <c r="AT47" s="28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290"/>
      <c r="AX49" s="290"/>
      <c r="AY49" s="290"/>
      <c r="AZ49" s="290"/>
      <c r="BA49" s="290"/>
      <c r="BB49" s="290">
        <f t="shared" si="0"/>
        <v>0</v>
      </c>
      <c r="BC49" s="290"/>
      <c r="BD49" s="290"/>
      <c r="BE49" s="290"/>
      <c r="BF49" s="290"/>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289"/>
      <c r="AL50" s="289"/>
      <c r="AM50" s="289"/>
      <c r="AN50" s="289"/>
      <c r="AO50" s="289"/>
      <c r="AP50" s="289"/>
      <c r="AQ50" s="289"/>
      <c r="AR50" s="289"/>
      <c r="AS50" s="289"/>
      <c r="AT50" s="289"/>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292"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290"/>
      <c r="AX52" s="290"/>
      <c r="AY52" s="290"/>
      <c r="AZ52" s="290"/>
      <c r="BA52" s="290"/>
      <c r="BB52" s="290"/>
      <c r="BC52" s="290"/>
      <c r="BD52" s="290"/>
      <c r="BE52" s="290"/>
      <c r="BF52" s="290"/>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290"/>
      <c r="AX53" s="290"/>
      <c r="AY53" s="290"/>
      <c r="AZ53" s="290"/>
      <c r="BA53" s="290"/>
      <c r="BB53" s="290">
        <f t="shared" ref="BB53:BB65" si="2">$D53*J53+$T53*Z53+$AJ53*AP53</f>
        <v>0</v>
      </c>
      <c r="BC53" s="290"/>
      <c r="BD53" s="290"/>
      <c r="BE53" s="290"/>
      <c r="BF53" s="290"/>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288"/>
      <c r="AL66" s="288"/>
      <c r="AM66" s="288"/>
      <c r="AN66" s="288"/>
      <c r="AO66" s="288"/>
      <c r="AP66" s="288"/>
      <c r="AQ66" s="288"/>
      <c r="AR66" s="288"/>
      <c r="AS66" s="288"/>
      <c r="AT66" s="28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B64:D64"/>
    <mergeCell ref="P64:T64"/>
    <mergeCell ref="AF64:AJ64"/>
    <mergeCell ref="B66:AJ66"/>
    <mergeCell ref="B68:AJ71"/>
    <mergeCell ref="B60:D60"/>
    <mergeCell ref="P60:T60"/>
    <mergeCell ref="AF60:AJ60"/>
    <mergeCell ref="B62:D62"/>
    <mergeCell ref="P62:T62"/>
    <mergeCell ref="AF62:AJ62"/>
    <mergeCell ref="AF14:AH14"/>
    <mergeCell ref="D2:T2"/>
    <mergeCell ref="AF2:AH2"/>
    <mergeCell ref="P4:R4"/>
    <mergeCell ref="AF4:AH4"/>
    <mergeCell ref="P6:R6"/>
    <mergeCell ref="AF6:AH6"/>
    <mergeCell ref="P12:R12"/>
    <mergeCell ref="AF12:AH12"/>
    <mergeCell ref="B8:AJ8"/>
    <mergeCell ref="P10:R10"/>
    <mergeCell ref="AF10:AH10"/>
    <mergeCell ref="P44:R44"/>
    <mergeCell ref="AF44:AH44"/>
    <mergeCell ref="P46:R46"/>
    <mergeCell ref="AF46:AH46"/>
    <mergeCell ref="AF16:AH16"/>
    <mergeCell ref="P26:R26"/>
    <mergeCell ref="B40:AJ40"/>
    <mergeCell ref="P42:R42"/>
    <mergeCell ref="AF42:AH42"/>
    <mergeCell ref="P48:R48"/>
    <mergeCell ref="AF48:AH48"/>
    <mergeCell ref="B50:AJ50"/>
    <mergeCell ref="B54:D54"/>
    <mergeCell ref="P54:T54"/>
    <mergeCell ref="AF54:AJ54"/>
    <mergeCell ref="P52:R52"/>
    <mergeCell ref="AF52:AH52"/>
    <mergeCell ref="B56:D56"/>
    <mergeCell ref="P56:T56"/>
    <mergeCell ref="AF56:AJ56"/>
    <mergeCell ref="B58:D58"/>
    <mergeCell ref="P58:T58"/>
    <mergeCell ref="AF58:AJ58"/>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Physician (10 BP)" prompt="A healer and surgery, caring for the people._x000a__x000a_+1 Loyalty, +1 Stability, -1 Unrest" sqref="AJ48"/>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Barracks (6 BP)" prompt="A building to house city guards, militia, and military forces. _x000a__x000a_Defense Modifier +2; Unrest –1." sqref="D16"/>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rothel (4 BP)" prompt="[Must be adjacent to one house]_x000a__x000a_A place to pay for companionship of any sort. _x000a__x000a_Economy +1, Loyalty +2; Unrest +1." sqref="D22"/>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Aviary (8 BP)" prompt="A building to cultivate birds to keep the area free from small pests and to send messages._x000a__x000a_Stability +2" sqref="D44"/>
    <dataValidation allowBlank="1" showInputMessage="1" showErrorMessage="1" promptTitle="Butcher (6 BP)" prompt="A building for slaughtering animals and selling meat._x000a__x000a_Loyalty +1, Economy +1" sqref="D48"/>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Graveyard (4 BP)" prompt="A plot of land to honor and bury the dead. _x000a__x000a_Loyalty +1." sqref="T10"/>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Mansion (10 BP)" prompt="A single huge manor housing a rich family and its servants. _x000a__x000a_Stability +1." sqref="T28"/>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Park (4 BP)" prompt="A plot of land set aside for its natural beauty._x000a__x000a_Loyalty +1; Unrest –1." sqref="T38"/>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Shrine (8 BP)" prompt="A small shrine or similar holy site. _x000a__x000a_1 minor item; _x000a__x000a_Loyalty +1; Unrest –1." sqref="AJ14"/>
    <dataValidation allowBlank="1" showInputMessage="1" showErrorMessage="1" promptTitle="Smith (6 BP)" prompt="An armor smith, blacksmith, or weapon smith. _x000a__x000a_Economy +1, Stability +1." sqref="AJ16"/>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Weaver (6 BP)" prompt="A building for weaving fabric and making clothes._x000a__x000a_Economy +1, Stability +1" sqref="AJ44"/>
    <dataValidation allowBlank="1" showInputMessage="1" showErrorMessage="1" promptTitle="Witches Hut (20 BP)" prompt="The home and brewery for a witch._x000a__x000a_2 minor items, 1 medium item._x000a__x000a_Economy +1, Unrest +1" sqref="AJ46"/>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Monastery (6 BP)" prompt="A place for monks to gather, train and worship._x000a__x000a_Loyalty +1, Stability +1" sqref="T48"/>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Watchtower (12 BP)" prompt="A tall structure that serves as a guard post and landmark. _x000a__x000a_+1 Stability; +2 Defense Modifier; Unrest –1." sqref="AJ34"/>
  </dataValidations>
  <printOptions horizontalCentered="1" verticalCentered="1"/>
  <pageMargins left="0.70866141732283472" right="0.70866141732283472" top="0.74803149606299213" bottom="0.74803149606299213" header="0.31496062992125984" footer="0.31496062992125984"/>
  <pageSetup paperSize="9" scale="84" orientation="portrait" r:id="rId1"/>
  <headerFooter>
    <oddHeader>&amp;A</oddHeader>
    <oddFooter>&amp;C&amp;P&amp;R&amp;D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
  <sheetViews>
    <sheetView workbookViewId="0">
      <selection activeCell="L11" sqref="L11"/>
    </sheetView>
  </sheetViews>
  <sheetFormatPr defaultRowHeight="15" x14ac:dyDescent="0.25"/>
  <cols>
    <col min="1" max="1" width="3.7109375" customWidth="1"/>
    <col min="2" max="2" width="10.42578125" bestFit="1" customWidth="1"/>
  </cols>
  <sheetData>
    <row r="2" spans="2:12" x14ac:dyDescent="0.25">
      <c r="B2" t="s">
        <v>1702</v>
      </c>
      <c r="C2" t="s">
        <v>1703</v>
      </c>
      <c r="D2" t="s">
        <v>1704</v>
      </c>
      <c r="E2" t="s">
        <v>1705</v>
      </c>
      <c r="F2" t="s">
        <v>1706</v>
      </c>
      <c r="G2" t="s">
        <v>1707</v>
      </c>
      <c r="H2" t="s">
        <v>1708</v>
      </c>
      <c r="K2" s="358">
        <v>41119</v>
      </c>
      <c r="L2" s="358">
        <v>41161</v>
      </c>
    </row>
    <row r="3" spans="2:12" x14ac:dyDescent="0.25">
      <c r="B3" t="s">
        <v>1709</v>
      </c>
      <c r="C3" t="s">
        <v>1674</v>
      </c>
      <c r="D3" t="s">
        <v>1684</v>
      </c>
      <c r="E3" t="s">
        <v>1710</v>
      </c>
      <c r="F3" t="s">
        <v>1681</v>
      </c>
      <c r="G3" t="s">
        <v>1683</v>
      </c>
      <c r="H3" t="s">
        <v>1711</v>
      </c>
      <c r="K3">
        <v>1600</v>
      </c>
      <c r="L3">
        <v>1600</v>
      </c>
    </row>
    <row r="4" spans="2:12" x14ac:dyDescent="0.25">
      <c r="B4" t="s">
        <v>90</v>
      </c>
      <c r="C4">
        <v>4</v>
      </c>
      <c r="D4">
        <v>4</v>
      </c>
      <c r="E4">
        <v>4</v>
      </c>
      <c r="F4">
        <v>4</v>
      </c>
      <c r="G4">
        <v>4</v>
      </c>
      <c r="H4">
        <v>3</v>
      </c>
      <c r="K4">
        <v>1600</v>
      </c>
      <c r="L4">
        <v>2400</v>
      </c>
    </row>
    <row r="5" spans="2:12" x14ac:dyDescent="0.25">
      <c r="B5" t="s">
        <v>1712</v>
      </c>
      <c r="C5">
        <v>12234</v>
      </c>
      <c r="D5">
        <v>11567</v>
      </c>
      <c r="E5">
        <v>11749</v>
      </c>
      <c r="F5">
        <v>12499</v>
      </c>
      <c r="G5">
        <v>11484</v>
      </c>
      <c r="H5">
        <v>10630</v>
      </c>
      <c r="K5">
        <v>1600</v>
      </c>
      <c r="L5">
        <v>1800</v>
      </c>
    </row>
    <row r="6" spans="2:12" x14ac:dyDescent="0.25">
      <c r="K6">
        <v>1200</v>
      </c>
      <c r="L6">
        <v>400</v>
      </c>
    </row>
    <row r="7" spans="2:12" x14ac:dyDescent="0.25">
      <c r="L7">
        <v>400</v>
      </c>
    </row>
    <row r="8" spans="2:12" x14ac:dyDescent="0.25">
      <c r="L8">
        <v>400</v>
      </c>
    </row>
    <row r="9" spans="2:12" x14ac:dyDescent="0.25">
      <c r="L9">
        <v>1200</v>
      </c>
    </row>
    <row r="10" spans="2:12" x14ac:dyDescent="0.25">
      <c r="L10">
        <v>400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H73"/>
  <sheetViews>
    <sheetView topLeftCell="A33" zoomScale="80" zoomScaleNormal="80" workbookViewId="0">
      <selection activeCell="D2" sqref="D2:T2"/>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7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H73"/>
  <sheetViews>
    <sheetView topLeftCell="A33" zoomScale="80" zoomScaleNormal="80" workbookViewId="0">
      <selection activeCell="D2" sqref="D2:T2"/>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Physician (10 BP)" prompt="A healer and surgery, caring for the people._x000a__x000a_+1 Loyalty, +1 Stability, -1 Unrest" sqref="AJ48"/>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Barracks (6 BP)" prompt="A building to house city guards, militia, and military forces. _x000a__x000a_Defense Modifier +2; Unrest –1." sqref="D16"/>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rothel (4 BP)" prompt="[Must be adjacent to one house]_x000a__x000a_A place to pay for companionship of any sort. _x000a__x000a_Economy +1, Loyalty +2; Unrest +1." sqref="D22"/>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Aviary (8 BP)" prompt="A building to cultivate birds to keep the area free from small pests and to send messages._x000a__x000a_Stability +2" sqref="D44"/>
    <dataValidation allowBlank="1" showInputMessage="1" showErrorMessage="1" promptTitle="Butcher (6 BP)" prompt="A building for slaughtering animals and selling meat._x000a__x000a_Loyalty +1, Economy +1" sqref="D48"/>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Graveyard (4 BP)" prompt="A plot of land to honor and bury the dead. _x000a__x000a_Loyalty +1." sqref="T10"/>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Mansion (10 BP)" prompt="A single huge manor housing a rich family and its servants. _x000a__x000a_Stability +1." sqref="T28"/>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Park (4 BP)" prompt="A plot of land set aside for its natural beauty._x000a__x000a_Loyalty +1; Unrest –1." sqref="T38"/>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Shrine (8 BP)" prompt="A small shrine or similar holy site. _x000a__x000a_1 minor item; _x000a__x000a_Loyalty +1; Unrest –1." sqref="AJ14"/>
    <dataValidation allowBlank="1" showInputMessage="1" showErrorMessage="1" promptTitle="Smith (6 BP)" prompt="An armor smith, blacksmith, or weapon smith. _x000a__x000a_Economy +1, Stability +1." sqref="AJ16"/>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Weaver (6 BP)" prompt="A building for weaving fabric and making clothes._x000a__x000a_Economy +1, Stability +1" sqref="AJ44"/>
    <dataValidation allowBlank="1" showInputMessage="1" showErrorMessage="1" promptTitle="Witches Hut (20 BP)" prompt="The home and brewery for a witch._x000a__x000a_2 minor items, 1 medium item._x000a__x000a_Economy +1, Unrest +1" sqref="AJ46"/>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Monastery (6 BP)" prompt="A place for monks to gather, train and worship._x000a__x000a_Loyalty +1, Stability +1" sqref="T48"/>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Watchtower (12 BP)" prompt="A tall structure that serves as a guard post and landmark. _x000a__x000a_+1 Stability; +2 Defense Modifier; Unrest –1." sqref="AJ34"/>
  </dataValidations>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H73"/>
  <sheetViews>
    <sheetView topLeftCell="A33" zoomScale="80" zoomScaleNormal="80" workbookViewId="0">
      <selection activeCell="D2" sqref="D2:T2"/>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BH73"/>
  <sheetViews>
    <sheetView topLeftCell="A33" zoomScale="80" zoomScaleNormal="80" workbookViewId="0">
      <selection activeCell="D2" sqref="D2:T2"/>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H73"/>
  <sheetViews>
    <sheetView topLeftCell="A33" zoomScale="80" zoomScaleNormal="80" workbookViewId="0">
      <selection activeCell="D2" sqref="D2:T2"/>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BH73"/>
  <sheetViews>
    <sheetView topLeftCell="A41" zoomScale="80" zoomScaleNormal="80" workbookViewId="0">
      <selection activeCell="D2" sqref="D2:T2"/>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BH73"/>
  <sheetViews>
    <sheetView topLeftCell="A49" zoomScale="80" zoomScaleNormal="80" workbookViewId="0">
      <selection activeCell="D2" sqref="D2:T2"/>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BH73"/>
  <sheetViews>
    <sheetView topLeftCell="A33" zoomScale="80" zoomScaleNormal="80" workbookViewId="0">
      <selection activeCell="D2" sqref="D2:T2"/>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BH73"/>
  <sheetViews>
    <sheetView topLeftCell="A33" zoomScale="80" zoomScaleNormal="80" workbookViewId="0">
      <selection activeCell="D2" sqref="D2:T2"/>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H73"/>
  <sheetViews>
    <sheetView topLeftCell="A41" zoomScale="80" zoomScaleNormal="80" workbookViewId="0">
      <selection activeCell="D2" sqref="D2:T2"/>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5"/>
  <sheetViews>
    <sheetView workbookViewId="0">
      <selection activeCell="C7" sqref="C7"/>
    </sheetView>
  </sheetViews>
  <sheetFormatPr defaultRowHeight="15" x14ac:dyDescent="0.25"/>
  <cols>
    <col min="1" max="1" width="0.85546875" customWidth="1"/>
    <col min="2" max="2" width="3.85546875" style="282" customWidth="1"/>
    <col min="3" max="3" width="53.140625" customWidth="1"/>
  </cols>
  <sheetData>
    <row r="1" spans="2:3" ht="5.25" customHeight="1" thickBot="1" x14ac:dyDescent="0.3"/>
    <row r="2" spans="2:3" ht="29.25" thickBot="1" x14ac:dyDescent="0.5">
      <c r="B2" s="406" t="s">
        <v>1653</v>
      </c>
      <c r="C2" s="407"/>
    </row>
    <row r="3" spans="2:3" x14ac:dyDescent="0.25">
      <c r="B3" s="335"/>
      <c r="C3" s="271"/>
    </row>
    <row r="4" spans="2:3" ht="30" x14ac:dyDescent="0.25">
      <c r="B4" s="335">
        <v>1</v>
      </c>
      <c r="C4" s="273" t="s">
        <v>1657</v>
      </c>
    </row>
    <row r="5" spans="2:3" ht="60" x14ac:dyDescent="0.25">
      <c r="B5" s="335">
        <v>2</v>
      </c>
      <c r="C5" s="273" t="s">
        <v>1656</v>
      </c>
    </row>
    <row r="6" spans="2:3" ht="30" x14ac:dyDescent="0.25">
      <c r="B6" s="335">
        <v>3</v>
      </c>
      <c r="C6" s="273" t="s">
        <v>1654</v>
      </c>
    </row>
    <row r="7" spans="2:3" ht="45" x14ac:dyDescent="0.25">
      <c r="B7" s="335">
        <v>4</v>
      </c>
      <c r="C7" s="273" t="s">
        <v>1655</v>
      </c>
    </row>
    <row r="8" spans="2:3" x14ac:dyDescent="0.25">
      <c r="B8" s="335">
        <v>5</v>
      </c>
      <c r="C8" s="273"/>
    </row>
    <row r="9" spans="2:3" x14ac:dyDescent="0.25">
      <c r="B9" s="335">
        <v>6</v>
      </c>
      <c r="C9" s="273"/>
    </row>
    <row r="10" spans="2:3" x14ac:dyDescent="0.25">
      <c r="B10" s="335">
        <v>7</v>
      </c>
      <c r="C10" s="273"/>
    </row>
    <row r="11" spans="2:3" x14ac:dyDescent="0.25">
      <c r="B11" s="335">
        <v>8</v>
      </c>
      <c r="C11" s="273"/>
    </row>
    <row r="12" spans="2:3" x14ac:dyDescent="0.25">
      <c r="B12" s="335">
        <v>9</v>
      </c>
      <c r="C12" s="273"/>
    </row>
    <row r="13" spans="2:3" x14ac:dyDescent="0.25">
      <c r="B13" s="335">
        <v>10</v>
      </c>
      <c r="C13" s="273"/>
    </row>
    <row r="14" spans="2:3" x14ac:dyDescent="0.25">
      <c r="B14" s="335">
        <v>11</v>
      </c>
      <c r="C14" s="273"/>
    </row>
    <row r="15" spans="2:3" x14ac:dyDescent="0.25">
      <c r="B15" s="335">
        <v>12</v>
      </c>
      <c r="C15" s="273"/>
    </row>
    <row r="16" spans="2:3" x14ac:dyDescent="0.25">
      <c r="B16" s="335">
        <v>13</v>
      </c>
      <c r="C16" s="273"/>
    </row>
    <row r="17" spans="2:3" x14ac:dyDescent="0.25">
      <c r="B17" s="335">
        <v>14</v>
      </c>
      <c r="C17" s="273"/>
    </row>
    <row r="18" spans="2:3" x14ac:dyDescent="0.25">
      <c r="B18" s="335">
        <v>15</v>
      </c>
      <c r="C18" s="273"/>
    </row>
    <row r="19" spans="2:3" x14ac:dyDescent="0.25">
      <c r="B19" s="335">
        <v>16</v>
      </c>
      <c r="C19" s="273"/>
    </row>
    <row r="20" spans="2:3" x14ac:dyDescent="0.25">
      <c r="B20" s="335">
        <v>17</v>
      </c>
      <c r="C20" s="273"/>
    </row>
    <row r="21" spans="2:3" x14ac:dyDescent="0.25">
      <c r="B21" s="335">
        <v>18</v>
      </c>
      <c r="C21" s="273"/>
    </row>
    <row r="22" spans="2:3" x14ac:dyDescent="0.25">
      <c r="B22" s="335">
        <v>19</v>
      </c>
      <c r="C22" s="273"/>
    </row>
    <row r="23" spans="2:3" x14ac:dyDescent="0.25">
      <c r="B23" s="335">
        <v>20</v>
      </c>
      <c r="C23" s="273"/>
    </row>
    <row r="24" spans="2:3" x14ac:dyDescent="0.25">
      <c r="B24" s="335"/>
      <c r="C24" s="271"/>
    </row>
    <row r="25" spans="2:3" x14ac:dyDescent="0.25">
      <c r="B25" s="335"/>
      <c r="C25" s="271"/>
    </row>
  </sheetData>
  <mergeCells count="1">
    <mergeCell ref="B2:C2"/>
  </mergeCells>
  <pageMargins left="0.7" right="0.7" top="0.75" bottom="0.75" header="0.3" footer="0.3"/>
  <pageSetup paperSize="9" orientation="portrait" horizontalDpi="4294967294"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H73"/>
  <sheetViews>
    <sheetView topLeftCell="A33" zoomScale="80" zoomScaleNormal="80" workbookViewId="0">
      <selection activeCell="B54" sqref="B54:D54"/>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H73"/>
  <sheetViews>
    <sheetView topLeftCell="A41" zoomScale="80" zoomScaleNormal="80" workbookViewId="0">
      <selection activeCell="B54" sqref="B54:D54"/>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H73"/>
  <sheetViews>
    <sheetView zoomScale="80" zoomScaleNormal="80" workbookViewId="0">
      <selection activeCell="D2" sqref="D2:T2"/>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customHeight="1"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BH73"/>
  <sheetViews>
    <sheetView topLeftCell="A41" zoomScale="80" zoomScaleNormal="80" workbookViewId="0">
      <selection activeCell="B54" sqref="B54:D54"/>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BH73"/>
  <sheetViews>
    <sheetView topLeftCell="A41" zoomScale="80" zoomScaleNormal="80" workbookViewId="0">
      <selection activeCell="B54" sqref="B54:D54"/>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68" t="s">
        <v>1662</v>
      </c>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BH73"/>
  <sheetViews>
    <sheetView topLeftCell="A33" zoomScale="80" zoomScaleNormal="80" workbookViewId="0">
      <selection activeCell="B54" sqref="B54:D54"/>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BH73"/>
  <sheetViews>
    <sheetView topLeftCell="A41" zoomScale="80" zoomScaleNormal="80" workbookViewId="0">
      <selection activeCell="B54" sqref="B54:D54"/>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BH73"/>
  <sheetViews>
    <sheetView topLeftCell="A41" zoomScale="80" zoomScaleNormal="80" workbookViewId="0">
      <selection activeCell="B54" sqref="B54:D54"/>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BH73"/>
  <sheetViews>
    <sheetView topLeftCell="A33" zoomScale="80" zoomScaleNormal="80" workbookViewId="0">
      <selection activeCell="B54" sqref="B54:D54"/>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H73"/>
  <sheetViews>
    <sheetView topLeftCell="A41" zoomScale="80" zoomScaleNormal="80" workbookViewId="0">
      <selection activeCell="B54" sqref="B54:D54"/>
    </sheetView>
  </sheetViews>
  <sheetFormatPr defaultRowHeight="15" x14ac:dyDescent="0.25"/>
  <cols>
    <col min="1" max="1" width="0.85546875" customWidth="1"/>
    <col min="2" max="2" width="21.7109375" customWidth="1"/>
    <col min="3" max="3" width="0.85546875" style="11" customWidth="1"/>
    <col min="4" max="4" width="10.7109375" customWidth="1"/>
    <col min="5" max="13" width="3.7109375" hidden="1" customWidth="1"/>
    <col min="14" max="14" width="3.28515625" hidden="1" customWidth="1"/>
    <col min="15" max="15" width="0.85546875" style="5" customWidth="1"/>
    <col min="16" max="16" width="10.7109375" style="5" customWidth="1"/>
    <col min="17" max="17" width="0.85546875" style="5" customWidth="1"/>
    <col min="18" max="18" width="10.7109375" customWidth="1"/>
    <col min="19" max="19" width="0.85546875" style="11" customWidth="1"/>
    <col min="20" max="20" width="10.7109375" customWidth="1"/>
    <col min="21" max="30" width="3.7109375" hidden="1" customWidth="1"/>
    <col min="31" max="31" width="0.85546875" style="5" customWidth="1"/>
    <col min="32" max="32" width="10.7109375" style="5" customWidth="1"/>
    <col min="33" max="33" width="0.85546875" style="5" customWidth="1"/>
    <col min="34" max="34" width="12.140625" customWidth="1"/>
    <col min="35" max="35" width="0.85546875" customWidth="1"/>
    <col min="36" max="36" width="10.7109375" customWidth="1"/>
    <col min="37" max="46" width="3.7109375" hidden="1" customWidth="1"/>
    <col min="47" max="47" width="0.85546875" customWidth="1"/>
    <col min="48" max="58" width="9.140625" hidden="1" customWidth="1"/>
    <col min="59" max="60" width="9.140625" customWidth="1"/>
  </cols>
  <sheetData>
    <row r="1" spans="1:58" ht="5.0999999999999996" customHeight="1" thickBot="1" x14ac:dyDescent="0.3">
      <c r="A1" s="12"/>
      <c r="B1" s="14"/>
      <c r="C1" s="13"/>
      <c r="D1" s="14"/>
      <c r="E1" s="14"/>
      <c r="F1" s="14"/>
      <c r="G1" s="14"/>
      <c r="H1" s="14"/>
      <c r="I1" s="14"/>
      <c r="J1" s="14"/>
      <c r="K1" s="14"/>
      <c r="L1" s="14"/>
      <c r="M1" s="14"/>
      <c r="N1" s="14"/>
      <c r="O1" s="14"/>
      <c r="P1" s="14"/>
      <c r="Q1" s="14"/>
      <c r="R1" s="14"/>
      <c r="S1" s="13"/>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5"/>
    </row>
    <row r="2" spans="1:58" ht="15.75" thickBot="1" x14ac:dyDescent="0.3">
      <c r="A2" s="19"/>
      <c r="B2" s="69" t="s">
        <v>83</v>
      </c>
      <c r="C2" s="61"/>
      <c r="D2" s="455"/>
      <c r="E2" s="456"/>
      <c r="F2" s="456"/>
      <c r="G2" s="456"/>
      <c r="H2" s="456"/>
      <c r="I2" s="456"/>
      <c r="J2" s="456"/>
      <c r="K2" s="456"/>
      <c r="L2" s="456"/>
      <c r="M2" s="456"/>
      <c r="N2" s="456"/>
      <c r="O2" s="456"/>
      <c r="P2" s="456"/>
      <c r="Q2" s="456"/>
      <c r="R2" s="456"/>
      <c r="S2" s="456"/>
      <c r="T2" s="457"/>
      <c r="U2" s="338"/>
      <c r="V2" s="338"/>
      <c r="W2" s="338"/>
      <c r="X2" s="338"/>
      <c r="Y2" s="338"/>
      <c r="Z2" s="338"/>
      <c r="AA2" s="338"/>
      <c r="AB2" s="338"/>
      <c r="AC2" s="338"/>
      <c r="AD2" s="338"/>
      <c r="AF2" s="454" t="s">
        <v>96</v>
      </c>
      <c r="AG2" s="454"/>
      <c r="AH2" s="454"/>
      <c r="AI2" s="5"/>
      <c r="AJ2" s="46">
        <f>IF((BC66+IF(D2&lt;&gt;0,200,0))&gt;16000,16000, (BC66+IF(D2&lt;&gt;0,200,0)))</f>
        <v>0</v>
      </c>
      <c r="AK2" s="338"/>
      <c r="AL2" s="338"/>
      <c r="AM2" s="338"/>
      <c r="AN2" s="338"/>
      <c r="AO2" s="338"/>
      <c r="AP2" s="338"/>
      <c r="AQ2" s="338"/>
      <c r="AR2" s="338"/>
      <c r="AS2" s="338"/>
      <c r="AT2" s="338"/>
      <c r="AU2" s="18"/>
    </row>
    <row r="3" spans="1:58" s="1" customFormat="1" ht="3" customHeight="1" thickBot="1" x14ac:dyDescent="0.3">
      <c r="A3" s="33"/>
      <c r="B3" s="61"/>
      <c r="C3" s="61"/>
      <c r="D3" s="11"/>
      <c r="E3" s="11"/>
      <c r="F3" s="11"/>
      <c r="G3" s="11"/>
      <c r="H3" s="11"/>
      <c r="I3" s="11"/>
      <c r="J3" s="11"/>
      <c r="K3" s="11"/>
      <c r="L3" s="11"/>
      <c r="M3" s="11"/>
      <c r="N3" s="11"/>
      <c r="O3" s="11"/>
      <c r="P3" s="11"/>
      <c r="Q3" s="11"/>
      <c r="R3" s="61"/>
      <c r="S3" s="61"/>
      <c r="T3" s="11"/>
      <c r="U3" s="11"/>
      <c r="V3" s="11"/>
      <c r="W3" s="11"/>
      <c r="X3" s="11"/>
      <c r="Y3" s="11"/>
      <c r="Z3" s="11"/>
      <c r="AA3" s="11"/>
      <c r="AB3" s="11"/>
      <c r="AC3" s="11"/>
      <c r="AD3" s="11"/>
      <c r="AE3" s="11"/>
      <c r="AF3" s="5"/>
      <c r="AG3" s="11"/>
      <c r="AH3" s="11"/>
      <c r="AI3" s="11"/>
      <c r="AJ3" s="339"/>
      <c r="AK3" s="11"/>
      <c r="AL3" s="11"/>
      <c r="AM3" s="11"/>
      <c r="AN3" s="11"/>
      <c r="AO3" s="11"/>
      <c r="AP3" s="11"/>
      <c r="AQ3" s="11"/>
      <c r="AR3" s="11"/>
      <c r="AS3" s="11"/>
      <c r="AT3" s="11"/>
      <c r="AU3" s="22"/>
    </row>
    <row r="4" spans="1:58" ht="15.75" thickBot="1" x14ac:dyDescent="0.3">
      <c r="A4" s="19"/>
      <c r="B4" s="341" t="s">
        <v>49</v>
      </c>
      <c r="C4" s="62"/>
      <c r="D4" s="46">
        <f>AW66</f>
        <v>0</v>
      </c>
      <c r="E4" s="81"/>
      <c r="F4" s="81"/>
      <c r="G4" s="81"/>
      <c r="H4" s="81"/>
      <c r="I4" s="81"/>
      <c r="J4" s="81"/>
      <c r="K4" s="81"/>
      <c r="L4" s="81"/>
      <c r="M4" s="81"/>
      <c r="N4" s="81"/>
      <c r="O4" s="81"/>
      <c r="P4" s="454" t="s">
        <v>51</v>
      </c>
      <c r="Q4" s="458"/>
      <c r="R4" s="458"/>
      <c r="T4" s="46">
        <f>AY66</f>
        <v>0</v>
      </c>
      <c r="U4" s="81"/>
      <c r="V4" s="81"/>
      <c r="W4" s="81"/>
      <c r="X4" s="81"/>
      <c r="Y4" s="81"/>
      <c r="Z4" s="81"/>
      <c r="AA4" s="81"/>
      <c r="AB4" s="81"/>
      <c r="AC4" s="81"/>
      <c r="AD4" s="81"/>
      <c r="AF4" s="454" t="s">
        <v>95</v>
      </c>
      <c r="AG4" s="405"/>
      <c r="AH4" s="405"/>
      <c r="AI4" s="62"/>
      <c r="AJ4" s="46">
        <f>AZ66</f>
        <v>0</v>
      </c>
      <c r="AK4" s="81"/>
      <c r="AL4" s="81"/>
      <c r="AM4" s="81"/>
      <c r="AN4" s="81"/>
      <c r="AO4" s="81"/>
      <c r="AP4" s="81"/>
      <c r="AQ4" s="81"/>
      <c r="AR4" s="81"/>
      <c r="AS4" s="81"/>
      <c r="AT4" s="81"/>
      <c r="AU4" s="18"/>
    </row>
    <row r="5" spans="1:58" s="1" customFormat="1" ht="3" customHeight="1" thickBot="1" x14ac:dyDescent="0.3">
      <c r="A5" s="33"/>
      <c r="B5" s="61"/>
      <c r="C5" s="61"/>
      <c r="D5" s="21"/>
      <c r="E5" s="21"/>
      <c r="F5" s="21"/>
      <c r="G5" s="21"/>
      <c r="H5" s="21"/>
      <c r="I5" s="21"/>
      <c r="J5" s="21"/>
      <c r="K5" s="21"/>
      <c r="L5" s="21"/>
      <c r="M5" s="21"/>
      <c r="N5" s="21"/>
      <c r="O5" s="21"/>
      <c r="P5" s="21"/>
      <c r="Q5" s="21"/>
      <c r="R5" s="11"/>
      <c r="S5" s="11"/>
      <c r="T5" s="11"/>
      <c r="U5" s="21"/>
      <c r="V5" s="21"/>
      <c r="W5" s="21"/>
      <c r="X5" s="21"/>
      <c r="Y5" s="21"/>
      <c r="Z5" s="21"/>
      <c r="AA5" s="21"/>
      <c r="AB5" s="21"/>
      <c r="AC5" s="21"/>
      <c r="AD5" s="21"/>
      <c r="AE5" s="11"/>
      <c r="AF5" s="21"/>
      <c r="AG5" s="21"/>
      <c r="AH5" s="11"/>
      <c r="AI5" s="11"/>
      <c r="AJ5" s="11"/>
      <c r="AK5" s="21"/>
      <c r="AL5" s="21"/>
      <c r="AM5" s="21"/>
      <c r="AN5" s="21"/>
      <c r="AO5" s="21"/>
      <c r="AP5" s="21"/>
      <c r="AQ5" s="21"/>
      <c r="AR5" s="21"/>
      <c r="AS5" s="21"/>
      <c r="AT5" s="21"/>
      <c r="AU5" s="22"/>
    </row>
    <row r="6" spans="1:58" ht="15" customHeight="1" thickBot="1" x14ac:dyDescent="0.3">
      <c r="A6" s="19"/>
      <c r="B6" s="341" t="s">
        <v>50</v>
      </c>
      <c r="C6" s="62"/>
      <c r="D6" s="46">
        <f>AX66</f>
        <v>0</v>
      </c>
      <c r="E6" s="208" t="s">
        <v>49</v>
      </c>
      <c r="F6" s="208" t="s">
        <v>50</v>
      </c>
      <c r="G6" s="208" t="s">
        <v>51</v>
      </c>
      <c r="H6" s="208" t="s">
        <v>95</v>
      </c>
      <c r="I6" s="208" t="s">
        <v>57</v>
      </c>
      <c r="J6" s="208" t="s">
        <v>379</v>
      </c>
      <c r="K6" s="208" t="s">
        <v>380</v>
      </c>
      <c r="L6" s="208" t="s">
        <v>150</v>
      </c>
      <c r="M6" s="208" t="s">
        <v>174</v>
      </c>
      <c r="N6" s="208" t="s">
        <v>151</v>
      </c>
      <c r="O6" s="81"/>
      <c r="P6" s="454" t="s">
        <v>43</v>
      </c>
      <c r="Q6" s="405"/>
      <c r="R6" s="405"/>
      <c r="S6" s="62"/>
      <c r="T6" s="46">
        <f>250*BB66</f>
        <v>0</v>
      </c>
      <c r="U6" s="208" t="s">
        <v>49</v>
      </c>
      <c r="V6" s="208" t="s">
        <v>50</v>
      </c>
      <c r="W6" s="208" t="s">
        <v>51</v>
      </c>
      <c r="X6" s="208" t="s">
        <v>95</v>
      </c>
      <c r="Y6" s="208" t="s">
        <v>57</v>
      </c>
      <c r="Z6" s="208" t="s">
        <v>379</v>
      </c>
      <c r="AA6" s="208" t="s">
        <v>380</v>
      </c>
      <c r="AB6" s="208" t="s">
        <v>150</v>
      </c>
      <c r="AC6" s="208" t="s">
        <v>174</v>
      </c>
      <c r="AD6" s="208" t="s">
        <v>151</v>
      </c>
      <c r="AF6" s="454" t="s">
        <v>158</v>
      </c>
      <c r="AG6" s="405"/>
      <c r="AH6" s="405"/>
      <c r="AI6" s="339"/>
      <c r="AJ6" s="46">
        <f>ROUNDUP((BB66/36),0)</f>
        <v>0</v>
      </c>
      <c r="AK6" s="208" t="s">
        <v>49</v>
      </c>
      <c r="AL6" s="208" t="s">
        <v>50</v>
      </c>
      <c r="AM6" s="208" t="s">
        <v>51</v>
      </c>
      <c r="AN6" s="208" t="s">
        <v>95</v>
      </c>
      <c r="AO6" s="208" t="s">
        <v>57</v>
      </c>
      <c r="AP6" s="208" t="s">
        <v>379</v>
      </c>
      <c r="AQ6" s="208" t="s">
        <v>380</v>
      </c>
      <c r="AR6" s="208" t="s">
        <v>150</v>
      </c>
      <c r="AS6" s="208" t="s">
        <v>174</v>
      </c>
      <c r="AT6" s="208" t="s">
        <v>151</v>
      </c>
      <c r="AU6" s="18"/>
    </row>
    <row r="7" spans="1:58" s="1" customFormat="1" ht="3" customHeight="1" x14ac:dyDescent="0.25">
      <c r="A7" s="33"/>
      <c r="B7" s="61"/>
      <c r="C7" s="61"/>
      <c r="D7" s="21"/>
      <c r="E7" s="21"/>
      <c r="F7" s="21"/>
      <c r="G7" s="21"/>
      <c r="H7" s="21"/>
      <c r="I7" s="21"/>
      <c r="J7" s="21"/>
      <c r="K7" s="21"/>
      <c r="L7" s="21"/>
      <c r="M7" s="21"/>
      <c r="N7" s="21"/>
      <c r="O7" s="21"/>
      <c r="U7" s="21"/>
      <c r="V7" s="21"/>
      <c r="W7" s="21"/>
      <c r="X7" s="21"/>
      <c r="Y7" s="21"/>
      <c r="Z7" s="21"/>
      <c r="AA7" s="21"/>
      <c r="AB7" s="21"/>
      <c r="AC7" s="21"/>
      <c r="AD7" s="21"/>
      <c r="AE7" s="11"/>
      <c r="AF7" s="5"/>
      <c r="AG7" s="11"/>
      <c r="AH7" s="11"/>
      <c r="AI7" s="11"/>
      <c r="AJ7" s="339"/>
      <c r="AK7" s="21"/>
      <c r="AL7" s="21"/>
      <c r="AM7" s="21"/>
      <c r="AN7" s="21"/>
      <c r="AO7" s="21"/>
      <c r="AP7" s="21"/>
      <c r="AQ7" s="21"/>
      <c r="AR7" s="21"/>
      <c r="AS7" s="21"/>
      <c r="AT7" s="21"/>
      <c r="AU7" s="22"/>
    </row>
    <row r="8" spans="1:58" s="5" customFormat="1" x14ac:dyDescent="0.25">
      <c r="A8" s="19"/>
      <c r="B8" s="359" t="s">
        <v>153</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37"/>
      <c r="AL8" s="337"/>
      <c r="AM8" s="337"/>
      <c r="AN8" s="337"/>
      <c r="AO8" s="337"/>
      <c r="AP8" s="337"/>
      <c r="AQ8" s="337"/>
      <c r="AR8" s="337"/>
      <c r="AS8" s="337"/>
      <c r="AT8" s="337"/>
      <c r="AU8" s="18"/>
    </row>
    <row r="9" spans="1:58" s="5" customFormat="1" ht="3" customHeight="1" thickBot="1" x14ac:dyDescent="0.3">
      <c r="A9" s="19"/>
      <c r="C9" s="11"/>
      <c r="E9" s="11"/>
      <c r="F9" s="11"/>
      <c r="G9" s="11"/>
      <c r="H9" s="11"/>
      <c r="I9" s="11"/>
      <c r="J9" s="11"/>
      <c r="K9" s="11"/>
      <c r="L9" s="11"/>
      <c r="M9" s="11"/>
      <c r="N9" s="11"/>
      <c r="S9" s="11"/>
      <c r="U9" s="11"/>
      <c r="V9" s="11"/>
      <c r="W9" s="11"/>
      <c r="X9" s="11"/>
      <c r="Y9" s="11"/>
      <c r="Z9" s="11"/>
      <c r="AA9" s="11"/>
      <c r="AB9" s="11"/>
      <c r="AC9" s="11"/>
      <c r="AD9" s="11"/>
      <c r="AK9" s="11"/>
      <c r="AL9" s="11"/>
      <c r="AM9" s="11"/>
      <c r="AN9" s="11"/>
      <c r="AO9" s="11"/>
      <c r="AP9" s="11"/>
      <c r="AQ9" s="11"/>
      <c r="AR9" s="11"/>
      <c r="AS9" s="11"/>
      <c r="AT9" s="11"/>
      <c r="AU9" s="18"/>
    </row>
    <row r="10" spans="1:58" ht="15.75" customHeight="1" thickBot="1" x14ac:dyDescent="0.3">
      <c r="A10" s="19"/>
      <c r="B10" s="69" t="s">
        <v>0</v>
      </c>
      <c r="D10" s="57"/>
      <c r="E10" s="73">
        <v>2</v>
      </c>
      <c r="F10" s="73">
        <v>2</v>
      </c>
      <c r="G10" s="73"/>
      <c r="H10" s="73"/>
      <c r="I10" s="73"/>
      <c r="J10" s="73">
        <v>2</v>
      </c>
      <c r="K10" s="73"/>
      <c r="L10" s="73">
        <v>3</v>
      </c>
      <c r="M10" s="73">
        <v>2</v>
      </c>
      <c r="N10" s="75"/>
      <c r="P10" s="454" t="s">
        <v>15</v>
      </c>
      <c r="Q10" s="405"/>
      <c r="R10" s="410"/>
      <c r="T10" s="57"/>
      <c r="U10" s="73"/>
      <c r="V10" s="73">
        <v>1</v>
      </c>
      <c r="W10" s="73"/>
      <c r="X10" s="73"/>
      <c r="Y10" s="73"/>
      <c r="Z10" s="73">
        <v>1</v>
      </c>
      <c r="AA10" s="73"/>
      <c r="AB10" s="73"/>
      <c r="AC10" s="73"/>
      <c r="AD10" s="75"/>
      <c r="AF10" s="454" t="s">
        <v>29</v>
      </c>
      <c r="AG10" s="454"/>
      <c r="AH10" s="454"/>
      <c r="AI10" s="5"/>
      <c r="AJ10" s="57"/>
      <c r="AK10" s="73">
        <v>1</v>
      </c>
      <c r="AL10" s="73"/>
      <c r="AM10" s="73">
        <v>1</v>
      </c>
      <c r="AN10" s="73"/>
      <c r="AO10" s="73"/>
      <c r="AP10" s="73">
        <v>1</v>
      </c>
      <c r="AQ10" s="73">
        <v>1000</v>
      </c>
      <c r="AR10" s="73"/>
      <c r="AS10" s="73"/>
      <c r="AT10" s="75"/>
      <c r="AU10" s="18"/>
      <c r="AW10" s="44">
        <f>$D10*E10+$T10*U10+$AJ10*AK10</f>
        <v>0</v>
      </c>
      <c r="AX10" s="36">
        <f>$D10*F10+$T10*V10+$AJ10*AL10</f>
        <v>0</v>
      </c>
      <c r="AY10" s="36">
        <f>$D10*G10+$T10*W10+$AJ10*AM10</f>
        <v>0</v>
      </c>
      <c r="AZ10" s="36">
        <f>$D10*H10+$T10*X10+$AJ10*AN10</f>
        <v>0</v>
      </c>
      <c r="BA10" s="36">
        <f>$D10*I10+$T10*Y10+$AJ10*AO10</f>
        <v>0</v>
      </c>
      <c r="BB10" s="36">
        <f t="shared" ref="BB10:BB49" si="0">$D10*J10+$T10*Z10+$AJ10*AP10</f>
        <v>0</v>
      </c>
      <c r="BC10" s="36">
        <f>$D10*K10+$T10*AA10+$AJ10*AQ10</f>
        <v>0</v>
      </c>
      <c r="BD10" s="36">
        <f>$D10*L10+$T10*AB10+$AJ10*AR10</f>
        <v>0</v>
      </c>
      <c r="BE10" s="36">
        <f>$D10*M10+$T10*AC10+$AJ10*AS10</f>
        <v>0</v>
      </c>
      <c r="BF10" s="37">
        <f>$D10*N10+$T10*AD10+$AJ10*AT10</f>
        <v>0</v>
      </c>
    </row>
    <row r="11" spans="1:58" ht="5.0999999999999996" customHeight="1" thickBot="1" x14ac:dyDescent="0.3">
      <c r="A11" s="19"/>
      <c r="B11" s="72"/>
      <c r="D11" s="5"/>
      <c r="E11" s="338"/>
      <c r="F11" s="338"/>
      <c r="G11" s="338"/>
      <c r="H11" s="338"/>
      <c r="I11" s="338"/>
      <c r="J11" s="338"/>
      <c r="K11" s="338"/>
      <c r="L11" s="338"/>
      <c r="M11" s="338"/>
      <c r="N11" s="338"/>
      <c r="R11" s="5"/>
      <c r="T11" s="5"/>
      <c r="U11" s="338"/>
      <c r="V11" s="338"/>
      <c r="W11" s="338"/>
      <c r="X11" s="338"/>
      <c r="Y11" s="338"/>
      <c r="Z11" s="338"/>
      <c r="AA11" s="338"/>
      <c r="AB11" s="338"/>
      <c r="AC11" s="338"/>
      <c r="AD11" s="338"/>
      <c r="AF11" s="72"/>
      <c r="AG11" s="72"/>
      <c r="AH11" s="72"/>
      <c r="AI11" s="5"/>
      <c r="AJ11" s="5"/>
      <c r="AK11" s="338"/>
      <c r="AL11" s="338"/>
      <c r="AM11" s="338"/>
      <c r="AN11" s="338"/>
      <c r="AO11" s="338"/>
      <c r="AP11" s="338"/>
      <c r="AQ11" s="338"/>
      <c r="AR11" s="338"/>
      <c r="AS11" s="338"/>
      <c r="AT11" s="338"/>
      <c r="AU11" s="18"/>
      <c r="AW11" s="42"/>
      <c r="AX11" s="38"/>
      <c r="AY11" s="38"/>
      <c r="AZ11" s="38"/>
      <c r="BA11" s="38"/>
      <c r="BB11" s="38">
        <f t="shared" si="0"/>
        <v>0</v>
      </c>
      <c r="BC11" s="38"/>
      <c r="BD11" s="38"/>
      <c r="BE11" s="38"/>
      <c r="BF11" s="39"/>
    </row>
    <row r="12" spans="1:58" ht="15.75" thickBot="1" x14ac:dyDescent="0.3">
      <c r="A12" s="19"/>
      <c r="B12" s="69" t="s">
        <v>1</v>
      </c>
      <c r="D12" s="57"/>
      <c r="E12" s="73">
        <v>1</v>
      </c>
      <c r="F12" s="73"/>
      <c r="G12" s="73"/>
      <c r="H12" s="73"/>
      <c r="I12" s="73"/>
      <c r="J12" s="73">
        <v>1</v>
      </c>
      <c r="K12" s="73">
        <v>1000</v>
      </c>
      <c r="L12" s="73">
        <v>1</v>
      </c>
      <c r="M12" s="75"/>
      <c r="N12" s="75"/>
      <c r="P12" s="454" t="s">
        <v>154</v>
      </c>
      <c r="Q12" s="405"/>
      <c r="R12" s="410"/>
      <c r="T12" s="57"/>
      <c r="U12" s="73">
        <v>2</v>
      </c>
      <c r="V12" s="73">
        <v>2</v>
      </c>
      <c r="W12" s="73"/>
      <c r="X12" s="73"/>
      <c r="Y12" s="73"/>
      <c r="Z12" s="73">
        <v>2</v>
      </c>
      <c r="AA12" s="73">
        <v>1000</v>
      </c>
      <c r="AB12" s="73"/>
      <c r="AC12" s="75"/>
      <c r="AD12" s="75"/>
      <c r="AF12" s="454" t="s">
        <v>30</v>
      </c>
      <c r="AG12" s="454"/>
      <c r="AH12" s="454"/>
      <c r="AI12" s="5"/>
      <c r="AJ12" s="57"/>
      <c r="AK12" s="73">
        <v>1</v>
      </c>
      <c r="AL12" s="73"/>
      <c r="AM12" s="73"/>
      <c r="AN12" s="73"/>
      <c r="AO12" s="73"/>
      <c r="AP12" s="73">
        <v>1</v>
      </c>
      <c r="AQ12" s="73">
        <v>500</v>
      </c>
      <c r="AR12" s="73"/>
      <c r="AS12" s="75"/>
      <c r="AT12" s="75"/>
      <c r="AU12" s="18"/>
      <c r="AW12" s="42">
        <f>$D12*E12+$T12*U12+$AJ12*AK12</f>
        <v>0</v>
      </c>
      <c r="AX12" s="38">
        <f>$D12*F12+$T12*V12+$AJ12*AL12</f>
        <v>0</v>
      </c>
      <c r="AY12" s="38">
        <f>$D12*G12+$T12*W12+$AJ12*AM12</f>
        <v>0</v>
      </c>
      <c r="AZ12" s="38">
        <f>$D12*H12+$T12*X12+$AJ12*AN12</f>
        <v>0</v>
      </c>
      <c r="BA12" s="38">
        <f>$D12*I12+$T12*Y12+$AJ12*AO12</f>
        <v>0</v>
      </c>
      <c r="BB12" s="38">
        <f t="shared" si="0"/>
        <v>0</v>
      </c>
      <c r="BC12" s="38">
        <f>$D12*K12+$T12*AA12+$AJ12*AQ12</f>
        <v>0</v>
      </c>
      <c r="BD12" s="38">
        <f>$D12*L12+$T12*AB12+$AJ12*AR12</f>
        <v>0</v>
      </c>
      <c r="BE12" s="38">
        <f>$D12*M12+$T12*AC12+$AJ12*AS12</f>
        <v>0</v>
      </c>
      <c r="BF12" s="39">
        <f>$D12*N12+$T12*AD12+$AJ12*AT12</f>
        <v>0</v>
      </c>
    </row>
    <row r="13" spans="1:58" ht="3" customHeight="1" thickBot="1" x14ac:dyDescent="0.3">
      <c r="A13" s="19"/>
      <c r="B13" s="5"/>
      <c r="D13" s="5"/>
      <c r="E13" s="338"/>
      <c r="F13" s="338"/>
      <c r="G13" s="338"/>
      <c r="H13" s="338"/>
      <c r="I13" s="338"/>
      <c r="J13" s="338"/>
      <c r="K13" s="338"/>
      <c r="L13" s="338"/>
      <c r="M13" s="338"/>
      <c r="N13" s="338"/>
      <c r="R13" s="5"/>
      <c r="T13" s="5"/>
      <c r="U13" s="338"/>
      <c r="V13" s="338"/>
      <c r="W13" s="338"/>
      <c r="X13" s="338"/>
      <c r="Y13" s="338"/>
      <c r="Z13" s="338"/>
      <c r="AA13" s="338"/>
      <c r="AB13" s="338"/>
      <c r="AC13" s="338"/>
      <c r="AD13" s="338"/>
      <c r="AF13" s="72"/>
      <c r="AG13" s="72"/>
      <c r="AH13" s="72"/>
      <c r="AI13" s="5"/>
      <c r="AJ13" s="5"/>
      <c r="AK13" s="338"/>
      <c r="AL13" s="338"/>
      <c r="AM13" s="338"/>
      <c r="AN13" s="338"/>
      <c r="AO13" s="338"/>
      <c r="AP13" s="338"/>
      <c r="AQ13" s="338"/>
      <c r="AR13" s="338"/>
      <c r="AS13" s="338"/>
      <c r="AT13" s="338"/>
      <c r="AU13" s="18"/>
      <c r="AW13" s="42"/>
      <c r="AX13" s="38"/>
      <c r="AY13" s="38"/>
      <c r="AZ13" s="38"/>
      <c r="BA13" s="38"/>
      <c r="BB13" s="38">
        <f t="shared" si="0"/>
        <v>0</v>
      </c>
      <c r="BC13" s="38"/>
      <c r="BD13" s="38"/>
      <c r="BE13" s="38"/>
      <c r="BF13" s="39"/>
    </row>
    <row r="14" spans="1:58" ht="15.75" thickBot="1" x14ac:dyDescent="0.3">
      <c r="A14" s="19"/>
      <c r="B14" s="69" t="s">
        <v>2</v>
      </c>
      <c r="D14" s="57"/>
      <c r="E14" s="75"/>
      <c r="F14" s="75"/>
      <c r="G14" s="73">
        <v>4</v>
      </c>
      <c r="H14" s="75"/>
      <c r="I14" s="75"/>
      <c r="J14" s="73">
        <v>4</v>
      </c>
      <c r="K14" s="75"/>
      <c r="L14" s="75"/>
      <c r="M14" s="75"/>
      <c r="N14" s="75"/>
      <c r="P14" s="341" t="s">
        <v>16</v>
      </c>
      <c r="Q14" s="341"/>
      <c r="R14" s="341"/>
      <c r="T14" s="57"/>
      <c r="U14" s="75"/>
      <c r="V14" s="75">
        <v>1</v>
      </c>
      <c r="W14" s="73">
        <v>1</v>
      </c>
      <c r="X14" s="75"/>
      <c r="Y14" s="75"/>
      <c r="Z14" s="73">
        <v>1</v>
      </c>
      <c r="AA14" s="75"/>
      <c r="AB14" s="75">
        <v>1</v>
      </c>
      <c r="AC14" s="75"/>
      <c r="AD14" s="75"/>
      <c r="AF14" s="454" t="s">
        <v>31</v>
      </c>
      <c r="AG14" s="454"/>
      <c r="AH14" s="454"/>
      <c r="AI14" s="5"/>
      <c r="AJ14" s="57"/>
      <c r="AK14" s="75"/>
      <c r="AL14" s="75">
        <v>1</v>
      </c>
      <c r="AM14" s="73"/>
      <c r="AN14" s="75"/>
      <c r="AO14" s="75">
        <v>-1</v>
      </c>
      <c r="AP14" s="73">
        <v>1</v>
      </c>
      <c r="AQ14" s="75"/>
      <c r="AR14" s="75">
        <v>1</v>
      </c>
      <c r="AS14" s="75"/>
      <c r="AT14" s="75"/>
      <c r="AU14" s="18"/>
      <c r="AW14" s="42">
        <f>$D14*E14+$T14*U14+$AJ14*AK14</f>
        <v>0</v>
      </c>
      <c r="AX14" s="38">
        <f>$D14*F14+$T14*V14+$AJ14*AL14</f>
        <v>0</v>
      </c>
      <c r="AY14" s="38">
        <f>$D14*G14+$T14*W14+$AJ14*AM14</f>
        <v>0</v>
      </c>
      <c r="AZ14" s="38">
        <f>$D14*H14+$T14*X14+$AJ14*AN14</f>
        <v>0</v>
      </c>
      <c r="BA14" s="38">
        <f>$D14*I14+$T14*Y14+$AJ14*AO14</f>
        <v>0</v>
      </c>
      <c r="BB14" s="38">
        <f t="shared" si="0"/>
        <v>0</v>
      </c>
      <c r="BC14" s="38">
        <f>$D14*K14+$T14*AA14+$AJ14*AQ14</f>
        <v>0</v>
      </c>
      <c r="BD14" s="38">
        <f>$D14*L14+$T14*AB14+$AJ14*AR14</f>
        <v>0</v>
      </c>
      <c r="BE14" s="38">
        <f>$D14*M14+$T14*AC14+$AJ14*AS14</f>
        <v>0</v>
      </c>
      <c r="BF14" s="39">
        <f>$D14*N14+$T14*AD14+$AJ14*AT14</f>
        <v>0</v>
      </c>
    </row>
    <row r="15" spans="1:58" ht="3" customHeight="1" thickBot="1" x14ac:dyDescent="0.3">
      <c r="A15" s="19"/>
      <c r="B15" s="72" t="s">
        <v>2</v>
      </c>
      <c r="D15" s="5"/>
      <c r="E15" s="338"/>
      <c r="F15" s="338"/>
      <c r="G15" s="338"/>
      <c r="H15" s="338"/>
      <c r="I15" s="338"/>
      <c r="J15" s="338"/>
      <c r="K15" s="338"/>
      <c r="L15" s="338"/>
      <c r="M15" s="338"/>
      <c r="N15" s="338"/>
      <c r="P15" s="72"/>
      <c r="Q15" s="72"/>
      <c r="R15" s="72"/>
      <c r="T15" s="5"/>
      <c r="U15" s="338"/>
      <c r="V15" s="338"/>
      <c r="W15" s="338"/>
      <c r="X15" s="338"/>
      <c r="Y15" s="338"/>
      <c r="Z15" s="338"/>
      <c r="AA15" s="338"/>
      <c r="AB15" s="338"/>
      <c r="AC15" s="338"/>
      <c r="AD15" s="338"/>
      <c r="AF15" s="72"/>
      <c r="AG15" s="72"/>
      <c r="AH15" s="72"/>
      <c r="AI15" s="5"/>
      <c r="AJ15" s="5"/>
      <c r="AK15" s="338"/>
      <c r="AL15" s="338"/>
      <c r="AM15" s="338"/>
      <c r="AN15" s="338"/>
      <c r="AO15" s="338"/>
      <c r="AP15" s="338"/>
      <c r="AQ15" s="338"/>
      <c r="AR15" s="338"/>
      <c r="AS15" s="338"/>
      <c r="AT15" s="338"/>
      <c r="AU15" s="18"/>
      <c r="AW15" s="42"/>
      <c r="AX15" s="38"/>
      <c r="AY15" s="38"/>
      <c r="AZ15" s="38"/>
      <c r="BA15" s="38"/>
      <c r="BB15" s="38">
        <f t="shared" si="0"/>
        <v>0</v>
      </c>
      <c r="BC15" s="38"/>
      <c r="BD15" s="38"/>
      <c r="BE15" s="38"/>
      <c r="BF15" s="39"/>
    </row>
    <row r="16" spans="1:58" ht="15.75" thickBot="1" x14ac:dyDescent="0.3">
      <c r="A16" s="19"/>
      <c r="B16" s="69" t="s">
        <v>3</v>
      </c>
      <c r="D16" s="57"/>
      <c r="E16" s="73"/>
      <c r="F16" s="73"/>
      <c r="G16" s="73"/>
      <c r="H16" s="73">
        <v>2</v>
      </c>
      <c r="I16" s="73">
        <v>-1</v>
      </c>
      <c r="J16" s="73">
        <v>1</v>
      </c>
      <c r="K16" s="73"/>
      <c r="L16" s="73"/>
      <c r="M16" s="73"/>
      <c r="N16" s="73"/>
      <c r="P16" s="341" t="s">
        <v>17</v>
      </c>
      <c r="Q16" s="341"/>
      <c r="R16" s="341"/>
      <c r="T16" s="57"/>
      <c r="U16" s="73"/>
      <c r="V16" s="73"/>
      <c r="W16" s="73"/>
      <c r="X16" s="73"/>
      <c r="Y16" s="73">
        <v>-1</v>
      </c>
      <c r="Z16" s="73">
        <v>1</v>
      </c>
      <c r="AA16" s="73"/>
      <c r="AB16" s="73"/>
      <c r="AC16" s="73"/>
      <c r="AD16" s="73"/>
      <c r="AF16" s="454" t="s">
        <v>32</v>
      </c>
      <c r="AG16" s="454"/>
      <c r="AH16" s="454"/>
      <c r="AI16" s="5"/>
      <c r="AJ16" s="57"/>
      <c r="AK16" s="73">
        <v>1</v>
      </c>
      <c r="AL16" s="73"/>
      <c r="AM16" s="73">
        <v>1</v>
      </c>
      <c r="AN16" s="73"/>
      <c r="AO16" s="73"/>
      <c r="AP16" s="73">
        <v>1</v>
      </c>
      <c r="AQ16" s="73"/>
      <c r="AR16" s="73"/>
      <c r="AS16" s="73"/>
      <c r="AT16" s="73"/>
      <c r="AU16" s="18"/>
      <c r="AW16" s="42">
        <f>$D16*E16+$T16*U16+$AJ16*AK16</f>
        <v>0</v>
      </c>
      <c r="AX16" s="38">
        <f>$D16*F16+$T16*V16+$AJ16*AL16</f>
        <v>0</v>
      </c>
      <c r="AY16" s="38">
        <f>$D16*G16+$T16*W16+$AJ16*AM16</f>
        <v>0</v>
      </c>
      <c r="AZ16" s="38">
        <f>$D16*H16+$T16*X16+$AJ16*AN16</f>
        <v>0</v>
      </c>
      <c r="BA16" s="38">
        <f>$D16*I16+$T16*Y16+$AJ16*AO16</f>
        <v>0</v>
      </c>
      <c r="BB16" s="38">
        <f t="shared" si="0"/>
        <v>0</v>
      </c>
      <c r="BC16" s="38">
        <f>$D16*K16+$T16*AA16+$AJ16*AQ16</f>
        <v>0</v>
      </c>
      <c r="BD16" s="38">
        <f>$D16*L16+$T16*AB16+$AJ16*AR16</f>
        <v>0</v>
      </c>
      <c r="BE16" s="38">
        <f>$D16*M16+$T16*AC16+$AJ16*AS16</f>
        <v>0</v>
      </c>
      <c r="BF16" s="39">
        <f>$D16*N16+$T16*AD16+$AJ16*AT16</f>
        <v>0</v>
      </c>
    </row>
    <row r="17" spans="1:60" ht="3" customHeight="1" thickBot="1" x14ac:dyDescent="0.3">
      <c r="A17" s="19"/>
      <c r="B17" s="72"/>
      <c r="D17" s="5"/>
      <c r="E17" s="338"/>
      <c r="F17" s="338"/>
      <c r="G17" s="338"/>
      <c r="H17" s="338"/>
      <c r="I17" s="338"/>
      <c r="J17" s="338"/>
      <c r="K17" s="338"/>
      <c r="L17" s="338"/>
      <c r="M17" s="338"/>
      <c r="N17" s="338"/>
      <c r="P17" s="72"/>
      <c r="Q17" s="72"/>
      <c r="R17" s="72"/>
      <c r="T17" s="5"/>
      <c r="U17" s="338"/>
      <c r="V17" s="338"/>
      <c r="W17" s="338"/>
      <c r="X17" s="338"/>
      <c r="Y17" s="338"/>
      <c r="Z17" s="338"/>
      <c r="AA17" s="338"/>
      <c r="AB17" s="338"/>
      <c r="AC17" s="338"/>
      <c r="AD17" s="338"/>
      <c r="AF17" s="72"/>
      <c r="AG17" s="72"/>
      <c r="AH17" s="72"/>
      <c r="AI17" s="5"/>
      <c r="AJ17" s="5"/>
      <c r="AK17" s="338"/>
      <c r="AL17" s="338"/>
      <c r="AM17" s="338"/>
      <c r="AN17" s="338"/>
      <c r="AO17" s="338"/>
      <c r="AP17" s="338"/>
      <c r="AQ17" s="338"/>
      <c r="AR17" s="338"/>
      <c r="AS17" s="338"/>
      <c r="AT17" s="338"/>
      <c r="AU17" s="18"/>
      <c r="AW17" s="42"/>
      <c r="AX17" s="38"/>
      <c r="AY17" s="38"/>
      <c r="AZ17" s="38"/>
      <c r="BA17" s="38"/>
      <c r="BB17" s="38">
        <f t="shared" si="0"/>
        <v>0</v>
      </c>
      <c r="BC17" s="38"/>
      <c r="BD17" s="38"/>
      <c r="BE17" s="38"/>
      <c r="BF17" s="39"/>
    </row>
    <row r="18" spans="1:60" ht="15.75" thickBot="1" x14ac:dyDescent="0.3">
      <c r="A18" s="19"/>
      <c r="B18" s="69" t="s">
        <v>4</v>
      </c>
      <c r="D18" s="57"/>
      <c r="E18" s="73">
        <v>2</v>
      </c>
      <c r="F18" s="73"/>
      <c r="G18" s="73">
        <v>1</v>
      </c>
      <c r="H18" s="73"/>
      <c r="I18" s="73">
        <v>1</v>
      </c>
      <c r="J18" s="73">
        <v>1</v>
      </c>
      <c r="K18" s="73">
        <v>2000</v>
      </c>
      <c r="L18" s="73">
        <v>2</v>
      </c>
      <c r="M18" s="73">
        <v>1</v>
      </c>
      <c r="N18" s="73">
        <v>1</v>
      </c>
      <c r="P18" s="341" t="s">
        <v>18</v>
      </c>
      <c r="Q18" s="341"/>
      <c r="R18" s="341"/>
      <c r="T18" s="57"/>
      <c r="U18" s="73">
        <v>1</v>
      </c>
      <c r="V18" s="73">
        <v>1</v>
      </c>
      <c r="W18" s="73"/>
      <c r="X18" s="73"/>
      <c r="Y18" s="73"/>
      <c r="Z18" s="73">
        <v>1</v>
      </c>
      <c r="AA18" s="73">
        <v>500</v>
      </c>
      <c r="AB18" s="73"/>
      <c r="AC18" s="73"/>
      <c r="AD18" s="73"/>
      <c r="AF18" s="341" t="s">
        <v>33</v>
      </c>
      <c r="AG18" s="341"/>
      <c r="AH18" s="341"/>
      <c r="AI18" s="5"/>
      <c r="AJ18" s="57"/>
      <c r="AK18" s="73">
        <v>1</v>
      </c>
      <c r="AL18" s="73">
        <v>1</v>
      </c>
      <c r="AM18" s="73"/>
      <c r="AN18" s="73"/>
      <c r="AO18" s="73"/>
      <c r="AP18" s="73">
        <v>1</v>
      </c>
      <c r="AQ18" s="73">
        <v>500</v>
      </c>
      <c r="AR18" s="73"/>
      <c r="AS18" s="73"/>
      <c r="AT18" s="73"/>
      <c r="AU18" s="18"/>
      <c r="AW18" s="42">
        <f>$D18*E18+$T18*U18+$AJ18*AK18</f>
        <v>0</v>
      </c>
      <c r="AX18" s="38">
        <f>$D18*F18+$T18*V18+$AJ18*AL18</f>
        <v>0</v>
      </c>
      <c r="AY18" s="38">
        <f>$D18*G18+$T18*W18+$AJ18*AM18</f>
        <v>0</v>
      </c>
      <c r="AZ18" s="38">
        <f>$D18*H18+$T18*X18+$AJ18*AN18</f>
        <v>0</v>
      </c>
      <c r="BA18" s="38">
        <f>$D18*I18+$T18*Y18+$AJ18*AO18</f>
        <v>0</v>
      </c>
      <c r="BB18" s="38">
        <f t="shared" si="0"/>
        <v>0</v>
      </c>
      <c r="BC18" s="38">
        <f>$D18*K18+$T18*AA18+$AJ18*AQ18</f>
        <v>0</v>
      </c>
      <c r="BD18" s="38">
        <f>$D18*L18+$T18*AB18+$AJ18*AR18</f>
        <v>0</v>
      </c>
      <c r="BE18" s="38">
        <f>$D18*M18+$T18*AC18+$AJ18*AS18</f>
        <v>0</v>
      </c>
      <c r="BF18" s="39">
        <f>$D18*N18+$T18*AD18+$AJ18*AT18</f>
        <v>0</v>
      </c>
    </row>
    <row r="19" spans="1:60" ht="3" customHeight="1" thickBot="1" x14ac:dyDescent="0.3">
      <c r="A19" s="19"/>
      <c r="B19" s="72"/>
      <c r="D19" s="5"/>
      <c r="E19" s="338"/>
      <c r="F19" s="338"/>
      <c r="G19" s="338"/>
      <c r="H19" s="338"/>
      <c r="I19" s="338"/>
      <c r="J19" s="338"/>
      <c r="K19" s="338"/>
      <c r="L19" s="338"/>
      <c r="M19" s="338"/>
      <c r="N19" s="338"/>
      <c r="P19" s="72"/>
      <c r="Q19" s="72"/>
      <c r="R19" s="72"/>
      <c r="T19" s="5"/>
      <c r="U19" s="338"/>
      <c r="V19" s="338"/>
      <c r="W19" s="338"/>
      <c r="X19" s="338"/>
      <c r="Y19" s="338"/>
      <c r="Z19" s="338"/>
      <c r="AA19" s="338"/>
      <c r="AB19" s="338"/>
      <c r="AC19" s="338"/>
      <c r="AD19" s="338"/>
      <c r="AF19" s="72"/>
      <c r="AG19" s="72"/>
      <c r="AH19" s="72"/>
      <c r="AI19" s="5"/>
      <c r="AJ19" s="5"/>
      <c r="AK19" s="338"/>
      <c r="AL19" s="338"/>
      <c r="AM19" s="338"/>
      <c r="AN19" s="338"/>
      <c r="AO19" s="338"/>
      <c r="AP19" s="338"/>
      <c r="AQ19" s="338"/>
      <c r="AR19" s="338"/>
      <c r="AS19" s="338"/>
      <c r="AT19" s="338"/>
      <c r="AU19" s="18"/>
      <c r="AW19" s="42"/>
      <c r="AX19" s="38"/>
      <c r="AY19" s="38"/>
      <c r="AZ19" s="38"/>
      <c r="BA19" s="38"/>
      <c r="BB19" s="38">
        <f t="shared" si="0"/>
        <v>0</v>
      </c>
      <c r="BC19" s="38"/>
      <c r="BD19" s="38"/>
      <c r="BE19" s="38"/>
      <c r="BF19" s="39"/>
    </row>
    <row r="20" spans="1:60" ht="15.75" thickBot="1" x14ac:dyDescent="0.3">
      <c r="A20" s="19"/>
      <c r="B20" s="69" t="s">
        <v>5</v>
      </c>
      <c r="D20" s="57"/>
      <c r="E20" s="73"/>
      <c r="F20" s="73">
        <v>1</v>
      </c>
      <c r="G20" s="73">
        <v>1</v>
      </c>
      <c r="H20" s="73"/>
      <c r="I20" s="73"/>
      <c r="J20" s="73">
        <v>1</v>
      </c>
      <c r="K20" s="73"/>
      <c r="L20" s="73"/>
      <c r="M20" s="73"/>
      <c r="N20" s="73"/>
      <c r="P20" s="341" t="s">
        <v>19</v>
      </c>
      <c r="Q20" s="341"/>
      <c r="R20" s="341"/>
      <c r="T20" s="57"/>
      <c r="U20" s="73"/>
      <c r="V20" s="73">
        <v>2</v>
      </c>
      <c r="W20" s="73">
        <v>2</v>
      </c>
      <c r="X20" s="73"/>
      <c r="Y20" s="73">
        <v>-2</v>
      </c>
      <c r="Z20" s="73">
        <v>1</v>
      </c>
      <c r="AA20" s="73"/>
      <c r="AB20" s="73"/>
      <c r="AC20" s="73"/>
      <c r="AD20" s="73"/>
      <c r="AF20" s="341" t="s">
        <v>34</v>
      </c>
      <c r="AG20" s="341"/>
      <c r="AH20" s="341"/>
      <c r="AI20" s="5"/>
      <c r="AJ20" s="57"/>
      <c r="AK20" s="73">
        <v>1</v>
      </c>
      <c r="AL20" s="73"/>
      <c r="AM20" s="73">
        <v>1</v>
      </c>
      <c r="AN20" s="73"/>
      <c r="AO20" s="73"/>
      <c r="AP20" s="73">
        <v>1</v>
      </c>
      <c r="AQ20" s="73"/>
      <c r="AR20" s="73"/>
      <c r="AS20" s="73"/>
      <c r="AT20" s="73"/>
      <c r="AU20" s="18"/>
      <c r="AW20" s="42">
        <f>$D20*E20+$T20*U20+$AJ20*AK20</f>
        <v>0</v>
      </c>
      <c r="AX20" s="38">
        <f>$D20*F20+$T20*V20+$AJ20*AL20</f>
        <v>0</v>
      </c>
      <c r="AY20" s="38">
        <f>$D20*G20+$T20*W20+$AJ20*AM20</f>
        <v>0</v>
      </c>
      <c r="AZ20" s="38">
        <f>$D20*H20+$T20*X20+$AJ20*AN20</f>
        <v>0</v>
      </c>
      <c r="BA20" s="38">
        <f>$D20*I20+$T20*Y20+$AJ20*AO20</f>
        <v>0</v>
      </c>
      <c r="BB20" s="38">
        <f t="shared" si="0"/>
        <v>0</v>
      </c>
      <c r="BC20" s="38">
        <f>$D20*K20+$T20*AA20+$AJ20*AQ20</f>
        <v>0</v>
      </c>
      <c r="BD20" s="38">
        <f>$D20*L20+$T20*AB20+$AJ20*AR20</f>
        <v>0</v>
      </c>
      <c r="BE20" s="38">
        <f>$D20*M20+$T20*AC20+$AJ20*AS20</f>
        <v>0</v>
      </c>
      <c r="BF20" s="39">
        <f>$D20*N20+$T20*AD20+$AJ20*AT20</f>
        <v>0</v>
      </c>
    </row>
    <row r="21" spans="1:60" ht="3" customHeight="1" thickBot="1" x14ac:dyDescent="0.3">
      <c r="A21" s="19"/>
      <c r="B21" s="72"/>
      <c r="D21" s="5"/>
      <c r="E21" s="338"/>
      <c r="F21" s="338"/>
      <c r="G21" s="338"/>
      <c r="H21" s="338"/>
      <c r="I21" s="338"/>
      <c r="J21" s="338"/>
      <c r="K21" s="338"/>
      <c r="L21" s="338"/>
      <c r="M21" s="338"/>
      <c r="N21" s="338"/>
      <c r="P21" s="72"/>
      <c r="Q21" s="72"/>
      <c r="R21" s="72"/>
      <c r="T21" s="5"/>
      <c r="U21" s="338"/>
      <c r="V21" s="338"/>
      <c r="W21" s="338"/>
      <c r="X21" s="338"/>
      <c r="Y21" s="338"/>
      <c r="Z21" s="338"/>
      <c r="AA21" s="338"/>
      <c r="AB21" s="338"/>
      <c r="AC21" s="338"/>
      <c r="AD21" s="338"/>
      <c r="AF21" s="72"/>
      <c r="AG21" s="72"/>
      <c r="AH21" s="72"/>
      <c r="AI21" s="5"/>
      <c r="AJ21" s="5"/>
      <c r="AK21" s="338"/>
      <c r="AL21" s="338"/>
      <c r="AM21" s="338"/>
      <c r="AN21" s="338"/>
      <c r="AO21" s="338"/>
      <c r="AP21" s="338"/>
      <c r="AQ21" s="338"/>
      <c r="AR21" s="338"/>
      <c r="AS21" s="338"/>
      <c r="AT21" s="338"/>
      <c r="AU21" s="18"/>
      <c r="AW21" s="42"/>
      <c r="AX21" s="38"/>
      <c r="AY21" s="38"/>
      <c r="AZ21" s="38"/>
      <c r="BA21" s="38"/>
      <c r="BB21" s="38">
        <f t="shared" si="0"/>
        <v>0</v>
      </c>
      <c r="BC21" s="38"/>
      <c r="BD21" s="38"/>
      <c r="BE21" s="38"/>
      <c r="BF21" s="39"/>
    </row>
    <row r="22" spans="1:60" ht="15.75" thickBot="1" x14ac:dyDescent="0.3">
      <c r="A22" s="19"/>
      <c r="B22" s="69" t="s">
        <v>6</v>
      </c>
      <c r="D22" s="57"/>
      <c r="E22" s="73">
        <v>1</v>
      </c>
      <c r="F22" s="73">
        <v>2</v>
      </c>
      <c r="G22" s="73"/>
      <c r="H22" s="73"/>
      <c r="I22" s="73">
        <v>1</v>
      </c>
      <c r="J22" s="73">
        <v>1</v>
      </c>
      <c r="K22" s="73"/>
      <c r="L22" s="73"/>
      <c r="M22" s="73"/>
      <c r="N22" s="73"/>
      <c r="P22" s="341" t="s">
        <v>20</v>
      </c>
      <c r="Q22" s="341"/>
      <c r="R22" s="341"/>
      <c r="T22" s="57"/>
      <c r="U22" s="73">
        <v>1</v>
      </c>
      <c r="V22" s="73">
        <v>1</v>
      </c>
      <c r="W22" s="73"/>
      <c r="X22" s="73"/>
      <c r="Y22" s="73"/>
      <c r="Z22" s="73">
        <v>1</v>
      </c>
      <c r="AA22" s="73"/>
      <c r="AB22" s="73"/>
      <c r="AC22" s="73"/>
      <c r="AD22" s="73"/>
      <c r="AF22" s="341" t="s">
        <v>35</v>
      </c>
      <c r="AG22" s="341"/>
      <c r="AH22" s="341"/>
      <c r="AI22" s="5"/>
      <c r="AJ22" s="57"/>
      <c r="AK22" s="73">
        <v>1</v>
      </c>
      <c r="AL22" s="73">
        <v>1</v>
      </c>
      <c r="AM22" s="73"/>
      <c r="AN22" s="73"/>
      <c r="AO22" s="73"/>
      <c r="AP22" s="73">
        <v>1</v>
      </c>
      <c r="AQ22" s="73">
        <v>500</v>
      </c>
      <c r="AR22" s="73"/>
      <c r="AS22" s="73"/>
      <c r="AT22" s="73"/>
      <c r="AU22" s="18"/>
      <c r="AW22" s="42">
        <f>$D22*E22+$T22*U22+$AJ22*AK22</f>
        <v>0</v>
      </c>
      <c r="AX22" s="38">
        <f>$D22*F22+$T22*V22+$AJ22*AL22</f>
        <v>0</v>
      </c>
      <c r="AY22" s="38">
        <f>$D22*G22+$T22*W22+$AJ22*AM22</f>
        <v>0</v>
      </c>
      <c r="AZ22" s="38">
        <f>$D22*H22+$T22*X22+$AJ22*AN22</f>
        <v>0</v>
      </c>
      <c r="BA22" s="38">
        <f>$D22*I22+$T22*Y22+$AJ22*AO22</f>
        <v>0</v>
      </c>
      <c r="BB22" s="38">
        <f t="shared" si="0"/>
        <v>0</v>
      </c>
      <c r="BC22" s="38">
        <f>$D22*K22+$T22*AA22+$AJ22*AQ22</f>
        <v>0</v>
      </c>
      <c r="BD22" s="38">
        <f>$D22*L22+$T22*AB22+$AJ22*AR22</f>
        <v>0</v>
      </c>
      <c r="BE22" s="38">
        <f>$D22*M22+$T22*AC22+$AJ22*AS22</f>
        <v>0</v>
      </c>
      <c r="BF22" s="39">
        <f>$D22*N22+$T22*AD22+$AJ22*AT22</f>
        <v>0</v>
      </c>
    </row>
    <row r="23" spans="1:60" ht="3" customHeight="1" thickBot="1" x14ac:dyDescent="0.3">
      <c r="A23" s="19"/>
      <c r="B23" s="72"/>
      <c r="D23" s="5"/>
      <c r="E23" s="338"/>
      <c r="F23" s="338"/>
      <c r="G23" s="338"/>
      <c r="H23" s="338"/>
      <c r="I23" s="338"/>
      <c r="J23" s="338"/>
      <c r="K23" s="338"/>
      <c r="L23" s="338"/>
      <c r="M23" s="338"/>
      <c r="N23" s="338"/>
      <c r="O23" s="11"/>
      <c r="P23" s="72"/>
      <c r="Q23" s="72"/>
      <c r="R23" s="72"/>
      <c r="T23" s="11"/>
      <c r="U23" s="338"/>
      <c r="V23" s="338"/>
      <c r="W23" s="338"/>
      <c r="X23" s="338"/>
      <c r="Y23" s="338"/>
      <c r="Z23" s="338"/>
      <c r="AA23" s="338"/>
      <c r="AB23" s="338"/>
      <c r="AC23" s="338"/>
      <c r="AD23" s="338"/>
      <c r="AF23" s="72"/>
      <c r="AG23" s="72"/>
      <c r="AH23" s="72"/>
      <c r="AI23" s="5"/>
      <c r="AJ23" s="5"/>
      <c r="AK23" s="338"/>
      <c r="AL23" s="338"/>
      <c r="AM23" s="338"/>
      <c r="AN23" s="338"/>
      <c r="AO23" s="338"/>
      <c r="AP23" s="338"/>
      <c r="AQ23" s="338"/>
      <c r="AR23" s="338"/>
      <c r="AS23" s="338"/>
      <c r="AT23" s="338"/>
      <c r="AU23" s="18"/>
      <c r="AW23" s="42"/>
      <c r="AX23" s="38"/>
      <c r="AY23" s="38"/>
      <c r="AZ23" s="38"/>
      <c r="BA23" s="38"/>
      <c r="BB23" s="38">
        <f t="shared" si="0"/>
        <v>0</v>
      </c>
      <c r="BC23" s="38"/>
      <c r="BD23" s="38"/>
      <c r="BE23" s="38"/>
      <c r="BF23" s="39"/>
    </row>
    <row r="24" spans="1:60" ht="15.75" thickBot="1" x14ac:dyDescent="0.3">
      <c r="A24" s="19"/>
      <c r="B24" s="69" t="s">
        <v>7</v>
      </c>
      <c r="D24" s="57"/>
      <c r="E24" s="73">
        <v>1</v>
      </c>
      <c r="F24" s="73">
        <v>1</v>
      </c>
      <c r="G24" s="73"/>
      <c r="H24" s="73"/>
      <c r="I24" s="73"/>
      <c r="J24" s="73">
        <v>1</v>
      </c>
      <c r="K24" s="73"/>
      <c r="L24" s="73">
        <v>3</v>
      </c>
      <c r="M24" s="73">
        <v>2</v>
      </c>
      <c r="N24" s="73"/>
      <c r="P24" s="341" t="s">
        <v>21</v>
      </c>
      <c r="Q24" s="341"/>
      <c r="R24" s="341"/>
      <c r="T24" s="57"/>
      <c r="U24" s="73">
        <v>1</v>
      </c>
      <c r="V24" s="73"/>
      <c r="W24" s="73"/>
      <c r="X24" s="73"/>
      <c r="Y24" s="73"/>
      <c r="Z24" s="73">
        <v>1</v>
      </c>
      <c r="AA24" s="73">
        <v>2000</v>
      </c>
      <c r="AB24" s="73">
        <v>2</v>
      </c>
      <c r="AC24" s="73"/>
      <c r="AD24" s="73"/>
      <c r="AF24" s="341" t="s">
        <v>36</v>
      </c>
      <c r="AG24" s="341"/>
      <c r="AH24" s="341"/>
      <c r="AI24" s="5"/>
      <c r="AJ24" s="57"/>
      <c r="AK24" s="73"/>
      <c r="AL24" s="73">
        <v>2</v>
      </c>
      <c r="AM24" s="73">
        <v>2</v>
      </c>
      <c r="AN24" s="73"/>
      <c r="AO24" s="73">
        <v>-2</v>
      </c>
      <c r="AP24" s="73">
        <v>2</v>
      </c>
      <c r="AQ24" s="73"/>
      <c r="AR24" s="73">
        <v>2</v>
      </c>
      <c r="AS24" s="73"/>
      <c r="AT24" s="73"/>
      <c r="AU24" s="18"/>
      <c r="AW24" s="42">
        <f>$D24*E24+$T24*U24+$AJ24*AK24</f>
        <v>0</v>
      </c>
      <c r="AX24" s="38">
        <f>$D24*F24+$T24*V24+$AJ24*AL24</f>
        <v>0</v>
      </c>
      <c r="AY24" s="38">
        <f>$D24*G24+$T24*W24+$AJ24*AM24</f>
        <v>0</v>
      </c>
      <c r="AZ24" s="38">
        <f>$D24*H24+$T24*X24+$AJ24*AN24</f>
        <v>0</v>
      </c>
      <c r="BA24" s="38">
        <f>$D24*I24+$T24*Y24+$AJ24*AO24</f>
        <v>0</v>
      </c>
      <c r="BB24" s="38">
        <f t="shared" si="0"/>
        <v>0</v>
      </c>
      <c r="BC24" s="38">
        <f>$D24*K24+$T24*AA24+$AJ24*AQ24</f>
        <v>0</v>
      </c>
      <c r="BD24" s="38">
        <f>$D24*L24+$T24*AB24+$AJ24*AR24</f>
        <v>0</v>
      </c>
      <c r="BE24" s="38">
        <f>$D24*M24+$T24*AC24+$AJ24*AS24</f>
        <v>0</v>
      </c>
      <c r="BF24" s="39">
        <f>$D24*N24+$T24*AD24+$AJ24*AT24</f>
        <v>0</v>
      </c>
    </row>
    <row r="25" spans="1:60" ht="3" customHeight="1" thickBot="1" x14ac:dyDescent="0.3">
      <c r="A25" s="19"/>
      <c r="B25" s="72"/>
      <c r="D25" s="11"/>
      <c r="E25" s="340"/>
      <c r="F25" s="340"/>
      <c r="G25" s="340"/>
      <c r="H25" s="340"/>
      <c r="I25" s="340"/>
      <c r="J25" s="340"/>
      <c r="K25" s="340"/>
      <c r="L25" s="340"/>
      <c r="M25" s="340"/>
      <c r="N25" s="340"/>
      <c r="P25" s="72"/>
      <c r="Q25" s="72"/>
      <c r="R25" s="72"/>
      <c r="T25" s="5"/>
      <c r="U25" s="340"/>
      <c r="V25" s="340"/>
      <c r="W25" s="340"/>
      <c r="X25" s="340"/>
      <c r="Y25" s="340"/>
      <c r="Z25" s="340"/>
      <c r="AA25" s="340"/>
      <c r="AB25" s="340"/>
      <c r="AC25" s="340"/>
      <c r="AD25" s="340"/>
      <c r="AF25" s="72"/>
      <c r="AG25" s="72"/>
      <c r="AH25" s="72"/>
      <c r="AI25" s="5"/>
      <c r="AJ25" s="5"/>
      <c r="AK25" s="340"/>
      <c r="AL25" s="340"/>
      <c r="AM25" s="340"/>
      <c r="AN25" s="340"/>
      <c r="AO25" s="340"/>
      <c r="AP25" s="340"/>
      <c r="AQ25" s="340"/>
      <c r="AR25" s="340"/>
      <c r="AS25" s="340"/>
      <c r="AT25" s="340"/>
      <c r="AU25" s="18"/>
      <c r="AW25" s="42"/>
      <c r="AX25" s="38"/>
      <c r="AY25" s="38"/>
      <c r="AZ25" s="38"/>
      <c r="BA25" s="38"/>
      <c r="BB25" s="38">
        <f t="shared" si="0"/>
        <v>0</v>
      </c>
      <c r="BC25" s="38"/>
      <c r="BD25" s="38"/>
      <c r="BE25" s="38"/>
      <c r="BF25" s="39"/>
    </row>
    <row r="26" spans="1:60" ht="15.75" thickBot="1" x14ac:dyDescent="0.3">
      <c r="A26" s="19"/>
      <c r="B26" s="69" t="s">
        <v>8</v>
      </c>
      <c r="D26" s="57"/>
      <c r="E26" s="73">
        <v>2</v>
      </c>
      <c r="F26" s="73">
        <v>2</v>
      </c>
      <c r="G26" s="73">
        <v>2</v>
      </c>
      <c r="H26" s="73">
        <v>8</v>
      </c>
      <c r="I26" s="73">
        <v>-4</v>
      </c>
      <c r="J26" s="73">
        <v>4</v>
      </c>
      <c r="K26" s="73"/>
      <c r="L26" s="73"/>
      <c r="M26" s="73"/>
      <c r="N26" s="73"/>
      <c r="P26" s="454" t="s">
        <v>22</v>
      </c>
      <c r="Q26" s="405"/>
      <c r="R26" s="405"/>
      <c r="T26" s="57"/>
      <c r="U26" s="73">
        <v>1</v>
      </c>
      <c r="V26" s="73"/>
      <c r="W26" s="73"/>
      <c r="X26" s="73"/>
      <c r="Y26" s="73"/>
      <c r="Z26" s="73">
        <v>1</v>
      </c>
      <c r="AA26" s="73">
        <v>2000</v>
      </c>
      <c r="AB26" s="73">
        <v>4</v>
      </c>
      <c r="AC26" s="73">
        <v>2</v>
      </c>
      <c r="AD26" s="73">
        <v>1</v>
      </c>
      <c r="AF26" s="341" t="s">
        <v>37</v>
      </c>
      <c r="AG26" s="341"/>
      <c r="AH26" s="341"/>
      <c r="AI26" s="5"/>
      <c r="AJ26" s="57"/>
      <c r="AK26" s="73"/>
      <c r="AL26" s="73"/>
      <c r="AM26" s="73"/>
      <c r="AN26" s="73"/>
      <c r="AO26" s="73">
        <v>2</v>
      </c>
      <c r="AP26" s="73">
        <v>1</v>
      </c>
      <c r="AQ26" s="73"/>
      <c r="AR26" s="73"/>
      <c r="AS26" s="73"/>
      <c r="AT26" s="73"/>
      <c r="AU26" s="18"/>
      <c r="AW26" s="42">
        <f>$D26*E26+$T26*U26+$AJ26*AK26</f>
        <v>0</v>
      </c>
      <c r="AX26" s="38">
        <f>$D26*F26+$T26*V26+$AJ26*AL26</f>
        <v>0</v>
      </c>
      <c r="AY26" s="38">
        <f>$D26*G26+$T26*W26+$AJ26*AM26</f>
        <v>0</v>
      </c>
      <c r="AZ26" s="38">
        <f>$D26*H26+$T26*X26+$AJ26*AN26</f>
        <v>0</v>
      </c>
      <c r="BA26" s="38">
        <f>$D26*I26+$T26*Y26+$AJ26*AO26</f>
        <v>0</v>
      </c>
      <c r="BB26" s="38">
        <f t="shared" si="0"/>
        <v>0</v>
      </c>
      <c r="BC26" s="38">
        <f>$D26*K26+$T26*AA26+$AJ26*AQ26</f>
        <v>0</v>
      </c>
      <c r="BD26" s="38">
        <f>$D26*L26+$T26*AB26+$AJ26*AR26</f>
        <v>0</v>
      </c>
      <c r="BE26" s="38">
        <f>$D26*M26+$T26*AC26+$AJ26*AS26</f>
        <v>0</v>
      </c>
      <c r="BF26" s="39">
        <f>$D26*N26+$T26*AD26+$AJ26*AT26</f>
        <v>0</v>
      </c>
    </row>
    <row r="27" spans="1:60" ht="3" customHeight="1" thickBot="1" x14ac:dyDescent="0.3">
      <c r="A27" s="19"/>
      <c r="B27" s="72"/>
      <c r="D27" s="5"/>
      <c r="E27" s="338"/>
      <c r="F27" s="338"/>
      <c r="G27" s="338"/>
      <c r="H27" s="338"/>
      <c r="I27" s="338"/>
      <c r="J27" s="338">
        <v>4</v>
      </c>
      <c r="K27" s="338"/>
      <c r="L27" s="338"/>
      <c r="M27" s="338"/>
      <c r="N27" s="338"/>
      <c r="P27" s="62"/>
      <c r="Q27" s="62"/>
      <c r="R27" s="62"/>
      <c r="T27" s="5"/>
      <c r="U27" s="338"/>
      <c r="V27" s="338"/>
      <c r="W27" s="338"/>
      <c r="X27" s="338"/>
      <c r="Y27" s="338"/>
      <c r="Z27" s="338"/>
      <c r="AA27" s="338"/>
      <c r="AB27" s="338"/>
      <c r="AC27" s="338"/>
      <c r="AD27" s="338"/>
      <c r="AF27" s="72"/>
      <c r="AG27" s="72"/>
      <c r="AH27" s="72"/>
      <c r="AI27" s="5"/>
      <c r="AJ27" s="5"/>
      <c r="AK27" s="338"/>
      <c r="AL27" s="338"/>
      <c r="AM27" s="338"/>
      <c r="AN27" s="338"/>
      <c r="AO27" s="338"/>
      <c r="AP27" s="338"/>
      <c r="AQ27" s="338"/>
      <c r="AR27" s="338"/>
      <c r="AS27" s="338"/>
      <c r="AT27" s="338"/>
      <c r="AU27" s="18"/>
      <c r="AW27" s="42"/>
      <c r="AX27" s="38"/>
      <c r="AY27" s="38"/>
      <c r="AZ27" s="38"/>
      <c r="BA27" s="38"/>
      <c r="BB27" s="38">
        <f t="shared" si="0"/>
        <v>0</v>
      </c>
      <c r="BC27" s="38"/>
      <c r="BD27" s="38"/>
      <c r="BE27" s="38"/>
      <c r="BF27" s="39"/>
    </row>
    <row r="28" spans="1:60" ht="15.75" thickBot="1" x14ac:dyDescent="0.3">
      <c r="A28" s="19"/>
      <c r="B28" s="69" t="s">
        <v>9</v>
      </c>
      <c r="D28" s="57"/>
      <c r="E28" s="73"/>
      <c r="F28" s="73">
        <v>4</v>
      </c>
      <c r="G28" s="73"/>
      <c r="H28" s="73"/>
      <c r="I28" s="73">
        <v>-4</v>
      </c>
      <c r="J28" s="73">
        <v>4</v>
      </c>
      <c r="K28" s="73"/>
      <c r="L28" s="73">
        <v>3</v>
      </c>
      <c r="M28" s="73">
        <v>2</v>
      </c>
      <c r="N28" s="73"/>
      <c r="P28" s="341" t="s">
        <v>23</v>
      </c>
      <c r="Q28" s="341"/>
      <c r="R28" s="341"/>
      <c r="T28" s="57"/>
      <c r="U28" s="73"/>
      <c r="V28" s="73"/>
      <c r="W28" s="73">
        <v>1</v>
      </c>
      <c r="X28" s="73"/>
      <c r="Y28" s="73"/>
      <c r="Z28" s="73">
        <v>1</v>
      </c>
      <c r="AA28" s="73"/>
      <c r="AB28" s="73"/>
      <c r="AC28" s="73"/>
      <c r="AD28" s="73"/>
      <c r="AF28" s="341" t="s">
        <v>38</v>
      </c>
      <c r="AG28" s="341"/>
      <c r="AH28" s="341"/>
      <c r="AI28" s="5"/>
      <c r="AJ28" s="57"/>
      <c r="AK28" s="73">
        <v>2</v>
      </c>
      <c r="AL28" s="73"/>
      <c r="AM28" s="73">
        <v>2</v>
      </c>
      <c r="AN28" s="73"/>
      <c r="AO28" s="73"/>
      <c r="AP28" s="73">
        <v>2</v>
      </c>
      <c r="AQ28" s="73"/>
      <c r="AR28" s="73"/>
      <c r="AS28" s="73"/>
      <c r="AT28" s="73"/>
      <c r="AU28" s="18"/>
      <c r="AW28" s="42">
        <f>$D28*E28+$T28*U28+$AJ28*AK28</f>
        <v>0</v>
      </c>
      <c r="AX28" s="38">
        <f>$D28*F28+$T28*V28+$AJ28*AL28</f>
        <v>0</v>
      </c>
      <c r="AY28" s="38">
        <f>$D28*G28+$T28*W28+$AJ28*AM28</f>
        <v>0</v>
      </c>
      <c r="AZ28" s="38">
        <f>$D28*H28+$T28*X28+$AJ28*AN28</f>
        <v>0</v>
      </c>
      <c r="BA28" s="38">
        <f>$D28*I28+$T28*Y28+$AJ28*AO28</f>
        <v>0</v>
      </c>
      <c r="BB28" s="38">
        <f t="shared" si="0"/>
        <v>0</v>
      </c>
      <c r="BC28" s="38">
        <f>$D28*K28+$T28*AA28+$AJ28*AQ28</f>
        <v>0</v>
      </c>
      <c r="BD28" s="38">
        <f>$D28*L28+$T28*AB28+$AJ28*AR28</f>
        <v>0</v>
      </c>
      <c r="BE28" s="38">
        <f>$D28*M28+$T28*AC28+$AJ28*AS28</f>
        <v>0</v>
      </c>
      <c r="BF28" s="39">
        <f>$D28*N28+$T28*AD28+$AJ28*AT28</f>
        <v>0</v>
      </c>
      <c r="BH28" s="21"/>
    </row>
    <row r="29" spans="1:60" ht="3" customHeight="1" thickBot="1" x14ac:dyDescent="0.3">
      <c r="A29" s="19"/>
      <c r="B29" s="72"/>
      <c r="D29" s="5"/>
      <c r="E29" s="338"/>
      <c r="F29" s="338"/>
      <c r="G29" s="338"/>
      <c r="H29" s="338"/>
      <c r="I29" s="338"/>
      <c r="J29" s="338"/>
      <c r="K29" s="338"/>
      <c r="L29" s="338"/>
      <c r="M29" s="338"/>
      <c r="N29" s="338"/>
      <c r="P29" s="72"/>
      <c r="Q29" s="72"/>
      <c r="R29" s="72"/>
      <c r="T29" s="5"/>
      <c r="U29" s="338"/>
      <c r="V29" s="338"/>
      <c r="W29" s="338"/>
      <c r="X29" s="338"/>
      <c r="Y29" s="338"/>
      <c r="Z29" s="338"/>
      <c r="AA29" s="338"/>
      <c r="AB29" s="338"/>
      <c r="AC29" s="338"/>
      <c r="AD29" s="338"/>
      <c r="AF29" s="72"/>
      <c r="AG29" s="72"/>
      <c r="AH29" s="72"/>
      <c r="AI29" s="5"/>
      <c r="AJ29" s="5"/>
      <c r="AK29" s="338"/>
      <c r="AL29" s="338"/>
      <c r="AM29" s="338"/>
      <c r="AN29" s="338"/>
      <c r="AO29" s="338"/>
      <c r="AP29" s="338"/>
      <c r="AQ29" s="338"/>
      <c r="AR29" s="338"/>
      <c r="AS29" s="338"/>
      <c r="AT29" s="338"/>
      <c r="AU29" s="18"/>
      <c r="AW29" s="42"/>
      <c r="AX29" s="38"/>
      <c r="AY29" s="38"/>
      <c r="AZ29" s="38"/>
      <c r="BA29" s="38"/>
      <c r="BB29" s="38">
        <f t="shared" si="0"/>
        <v>0</v>
      </c>
      <c r="BC29" s="38"/>
      <c r="BD29" s="38"/>
      <c r="BE29" s="38"/>
      <c r="BF29" s="39"/>
    </row>
    <row r="30" spans="1:60" ht="15.75" thickBot="1" x14ac:dyDescent="0.3">
      <c r="A30" s="19"/>
      <c r="B30" s="69" t="s">
        <v>10</v>
      </c>
      <c r="D30" s="57"/>
      <c r="E30" s="73"/>
      <c r="F30" s="73"/>
      <c r="G30" s="73"/>
      <c r="H30" s="73">
        <v>4</v>
      </c>
      <c r="I30" s="73">
        <v>-2</v>
      </c>
      <c r="J30" s="73"/>
      <c r="K30" s="73"/>
      <c r="L30" s="73"/>
      <c r="M30" s="73"/>
      <c r="N30" s="73"/>
      <c r="P30" s="341" t="s">
        <v>24</v>
      </c>
      <c r="Q30" s="341"/>
      <c r="R30" s="341"/>
      <c r="T30" s="57"/>
      <c r="U30" s="73">
        <v>2</v>
      </c>
      <c r="V30" s="73"/>
      <c r="W30" s="73">
        <v>2</v>
      </c>
      <c r="X30" s="73"/>
      <c r="Y30" s="73"/>
      <c r="Z30" s="73">
        <v>2</v>
      </c>
      <c r="AA30" s="73">
        <v>2000</v>
      </c>
      <c r="AB30" s="73">
        <v>2</v>
      </c>
      <c r="AC30" s="73"/>
      <c r="AD30" s="73"/>
      <c r="AF30" s="341" t="s">
        <v>39</v>
      </c>
      <c r="AG30" s="341"/>
      <c r="AH30" s="341"/>
      <c r="AI30" s="5"/>
      <c r="AJ30" s="57"/>
      <c r="AK30" s="73">
        <v>1</v>
      </c>
      <c r="AL30" s="73">
        <v>1</v>
      </c>
      <c r="AM30" s="73">
        <v>1</v>
      </c>
      <c r="AN30" s="73"/>
      <c r="AO30" s="73"/>
      <c r="AP30" s="73">
        <v>2</v>
      </c>
      <c r="AQ30" s="73"/>
      <c r="AR30" s="73"/>
      <c r="AS30" s="73"/>
      <c r="AT30" s="73"/>
      <c r="AU30" s="18"/>
      <c r="AW30" s="42">
        <f>$D30*E30+$T30*U30+$AJ30*AK30</f>
        <v>0</v>
      </c>
      <c r="AX30" s="38">
        <f>$D30*F30+$T30*V30+$AJ30*AL30</f>
        <v>0</v>
      </c>
      <c r="AY30" s="38">
        <f>$D30*G30+$T30*W30+$AJ30*AM30</f>
        <v>0</v>
      </c>
      <c r="AZ30" s="38">
        <f>$D30*H30+$T30*X30+$AJ30*AN30</f>
        <v>0</v>
      </c>
      <c r="BA30" s="38">
        <f>$D30*I30+$T30*Y30+$AJ30*AO30</f>
        <v>0</v>
      </c>
      <c r="BB30" s="38">
        <f t="shared" si="0"/>
        <v>0</v>
      </c>
      <c r="BC30" s="38">
        <f>$D30*K30+$T30*AA30+$AJ30*AQ30</f>
        <v>0</v>
      </c>
      <c r="BD30" s="38">
        <f>$D30*L30+$T30*AB30+$AJ30*AR30</f>
        <v>0</v>
      </c>
      <c r="BE30" s="38">
        <f>$D30*M30+$T30*AC30+$AJ30*AS30</f>
        <v>0</v>
      </c>
      <c r="BF30" s="39">
        <f>$D30*N30+$T30*AD30+$AJ30*AT30</f>
        <v>0</v>
      </c>
    </row>
    <row r="31" spans="1:60" ht="3" customHeight="1" thickBot="1" x14ac:dyDescent="0.3">
      <c r="A31" s="19"/>
      <c r="B31" s="72"/>
      <c r="D31" s="5"/>
      <c r="E31" s="338"/>
      <c r="F31" s="338"/>
      <c r="G31" s="338"/>
      <c r="H31" s="338"/>
      <c r="I31" s="338"/>
      <c r="J31" s="338"/>
      <c r="K31" s="338"/>
      <c r="L31" s="338"/>
      <c r="M31" s="338"/>
      <c r="N31" s="338"/>
      <c r="P31" s="72"/>
      <c r="Q31" s="72"/>
      <c r="R31" s="72"/>
      <c r="T31" s="5"/>
      <c r="U31" s="338"/>
      <c r="V31" s="338"/>
      <c r="W31" s="338"/>
      <c r="X31" s="338"/>
      <c r="Y31" s="338"/>
      <c r="Z31" s="338"/>
      <c r="AA31" s="338"/>
      <c r="AB31" s="338"/>
      <c r="AC31" s="338"/>
      <c r="AD31" s="338"/>
      <c r="AF31" s="72"/>
      <c r="AG31" s="72"/>
      <c r="AH31" s="72"/>
      <c r="AI31" s="5"/>
      <c r="AJ31" s="5"/>
      <c r="AK31" s="338"/>
      <c r="AL31" s="338"/>
      <c r="AM31" s="338"/>
      <c r="AN31" s="338"/>
      <c r="AO31" s="338"/>
      <c r="AP31" s="338"/>
      <c r="AQ31" s="338"/>
      <c r="AR31" s="338"/>
      <c r="AS31" s="338"/>
      <c r="AT31" s="338"/>
      <c r="AU31" s="18"/>
      <c r="AW31" s="42"/>
      <c r="AX31" s="38"/>
      <c r="AY31" s="38"/>
      <c r="AZ31" s="38"/>
      <c r="BA31" s="38"/>
      <c r="BB31" s="38">
        <f t="shared" si="0"/>
        <v>0</v>
      </c>
      <c r="BC31" s="38"/>
      <c r="BD31" s="38"/>
      <c r="BE31" s="38"/>
      <c r="BF31" s="39"/>
    </row>
    <row r="32" spans="1:60" ht="15.75" thickBot="1" x14ac:dyDescent="0.3">
      <c r="A32" s="19"/>
      <c r="B32" s="69" t="s">
        <v>11</v>
      </c>
      <c r="D32" s="57"/>
      <c r="E32" s="73"/>
      <c r="F32" s="73">
        <v>1</v>
      </c>
      <c r="G32" s="73">
        <v>1</v>
      </c>
      <c r="H32" s="73"/>
      <c r="I32" s="73"/>
      <c r="J32" s="73">
        <v>1</v>
      </c>
      <c r="K32" s="73"/>
      <c r="L32" s="73"/>
      <c r="M32" s="73"/>
      <c r="N32" s="73"/>
      <c r="P32" s="341" t="s">
        <v>25</v>
      </c>
      <c r="Q32" s="341"/>
      <c r="R32" s="341"/>
      <c r="T32" s="57"/>
      <c r="U32" s="73">
        <v>1</v>
      </c>
      <c r="V32" s="73"/>
      <c r="W32" s="73">
        <v>1</v>
      </c>
      <c r="X32" s="73"/>
      <c r="Y32" s="73"/>
      <c r="Z32" s="73">
        <v>1</v>
      </c>
      <c r="AA32" s="73"/>
      <c r="AB32" s="73"/>
      <c r="AC32" s="73"/>
      <c r="AD32" s="73"/>
      <c r="AF32" s="341" t="s">
        <v>40</v>
      </c>
      <c r="AG32" s="341"/>
      <c r="AH32" s="341"/>
      <c r="AI32" s="5"/>
      <c r="AJ32" s="57"/>
      <c r="AK32" s="73">
        <v>1</v>
      </c>
      <c r="AL32" s="73"/>
      <c r="AM32" s="73">
        <v>1</v>
      </c>
      <c r="AN32" s="73"/>
      <c r="AO32" s="73"/>
      <c r="AP32" s="73">
        <v>1</v>
      </c>
      <c r="AQ32" s="73">
        <v>500</v>
      </c>
      <c r="AR32" s="73"/>
      <c r="AS32" s="73"/>
      <c r="AT32" s="73"/>
      <c r="AU32" s="18"/>
      <c r="AW32" s="42">
        <f>$D32*E32+$T32*U32+$AJ32*AK32</f>
        <v>0</v>
      </c>
      <c r="AX32" s="38">
        <f>$D32*F32+$T32*V32+$AJ32*AL32</f>
        <v>0</v>
      </c>
      <c r="AY32" s="38">
        <f>$D32*G32+$T32*W32+$AJ32*AM32</f>
        <v>0</v>
      </c>
      <c r="AZ32" s="38">
        <f>$D32*H32+$T32*X32+$AJ32*AN32</f>
        <v>0</v>
      </c>
      <c r="BA32" s="38">
        <f>$D32*I32+$T32*Y32+$AJ32*AO32</f>
        <v>0</v>
      </c>
      <c r="BB32" s="38">
        <f t="shared" si="0"/>
        <v>0</v>
      </c>
      <c r="BC32" s="38">
        <f>$D32*K32+$T32*AA32+$AJ32*AQ32</f>
        <v>0</v>
      </c>
      <c r="BD32" s="38">
        <f>$D32*L32+$T32*AB32+$AJ32*AR32</f>
        <v>0</v>
      </c>
      <c r="BE32" s="38">
        <f>$D32*M32+$T32*AC32+$AJ32*AS32</f>
        <v>0</v>
      </c>
      <c r="BF32" s="39">
        <f>$D32*N32+$T32*AD32+$AJ32*AT32</f>
        <v>0</v>
      </c>
    </row>
    <row r="33" spans="1:60" ht="3" customHeight="1" thickBot="1" x14ac:dyDescent="0.3">
      <c r="A33" s="19"/>
      <c r="B33" s="72"/>
      <c r="D33" s="5"/>
      <c r="E33" s="338"/>
      <c r="F33" s="338"/>
      <c r="G33" s="338"/>
      <c r="H33" s="338"/>
      <c r="I33" s="338"/>
      <c r="J33" s="338"/>
      <c r="K33" s="338"/>
      <c r="L33" s="338"/>
      <c r="M33" s="338"/>
      <c r="N33" s="338"/>
      <c r="P33" s="72"/>
      <c r="Q33" s="72"/>
      <c r="R33" s="72"/>
      <c r="T33" s="5"/>
      <c r="U33" s="338"/>
      <c r="V33" s="338"/>
      <c r="W33" s="338"/>
      <c r="X33" s="338"/>
      <c r="Y33" s="338"/>
      <c r="Z33" s="338"/>
      <c r="AA33" s="338"/>
      <c r="AB33" s="338"/>
      <c r="AC33" s="338"/>
      <c r="AD33" s="338"/>
      <c r="AF33" s="72"/>
      <c r="AG33" s="72"/>
      <c r="AH33" s="72"/>
      <c r="AI33" s="5"/>
      <c r="AJ33" s="5"/>
      <c r="AK33" s="338"/>
      <c r="AL33" s="338"/>
      <c r="AM33" s="338"/>
      <c r="AN33" s="338"/>
      <c r="AO33" s="338"/>
      <c r="AP33" s="338"/>
      <c r="AQ33" s="338"/>
      <c r="AR33" s="338"/>
      <c r="AS33" s="338"/>
      <c r="AT33" s="338"/>
      <c r="AU33" s="18"/>
      <c r="AW33" s="42"/>
      <c r="AX33" s="38"/>
      <c r="AY33" s="38"/>
      <c r="AZ33" s="38"/>
      <c r="BA33" s="38"/>
      <c r="BB33" s="38">
        <f t="shared" si="0"/>
        <v>0</v>
      </c>
      <c r="BC33" s="38"/>
      <c r="BD33" s="38"/>
      <c r="BE33" s="38"/>
      <c r="BF33" s="39"/>
    </row>
    <row r="34" spans="1:60" ht="15.75" thickBot="1" x14ac:dyDescent="0.3">
      <c r="A34" s="19"/>
      <c r="B34" s="69" t="s">
        <v>12</v>
      </c>
      <c r="D34" s="57"/>
      <c r="E34" s="73">
        <v>1</v>
      </c>
      <c r="F34" s="73"/>
      <c r="G34" s="73">
        <v>1</v>
      </c>
      <c r="H34" s="73"/>
      <c r="I34" s="73"/>
      <c r="J34" s="73">
        <v>1</v>
      </c>
      <c r="K34" s="73"/>
      <c r="L34" s="73">
        <v>1</v>
      </c>
      <c r="M34" s="73"/>
      <c r="N34" s="73"/>
      <c r="P34" s="341" t="s">
        <v>26</v>
      </c>
      <c r="Q34" s="341"/>
      <c r="R34" s="341"/>
      <c r="T34" s="57"/>
      <c r="U34" s="73"/>
      <c r="V34" s="73">
        <v>3</v>
      </c>
      <c r="W34" s="73"/>
      <c r="X34" s="73"/>
      <c r="Y34" s="73">
        <v>-1</v>
      </c>
      <c r="Z34" s="73">
        <v>1</v>
      </c>
      <c r="AA34" s="73"/>
      <c r="AB34" s="73"/>
      <c r="AC34" s="73"/>
      <c r="AD34" s="73"/>
      <c r="AF34" s="341" t="s">
        <v>41</v>
      </c>
      <c r="AG34" s="341"/>
      <c r="AH34" s="341"/>
      <c r="AI34" s="5"/>
      <c r="AJ34" s="57"/>
      <c r="AK34" s="73"/>
      <c r="AL34" s="73"/>
      <c r="AM34" s="73">
        <v>1</v>
      </c>
      <c r="AN34" s="73">
        <v>2</v>
      </c>
      <c r="AO34" s="73">
        <v>-1</v>
      </c>
      <c r="AP34" s="73">
        <v>1</v>
      </c>
      <c r="AQ34" s="73"/>
      <c r="AR34" s="73"/>
      <c r="AS34" s="73"/>
      <c r="AT34" s="73"/>
      <c r="AU34" s="18"/>
      <c r="AW34" s="42">
        <f>$D34*E34+$T34*U34+$AJ34*AK34</f>
        <v>0</v>
      </c>
      <c r="AX34" s="38">
        <f>$D34*F34+$T34*V34+$AJ34*AL34</f>
        <v>0</v>
      </c>
      <c r="AY34" s="38">
        <f>$D34*G34+$T34*W34+$AJ34*AM34</f>
        <v>0</v>
      </c>
      <c r="AZ34" s="38">
        <f>$D34*H34+$T34*X34+$AJ34*AN34</f>
        <v>0</v>
      </c>
      <c r="BA34" s="38">
        <f>$D34*I34+$T34*Y34+$AJ34*AO34</f>
        <v>0</v>
      </c>
      <c r="BB34" s="38">
        <f t="shared" si="0"/>
        <v>0</v>
      </c>
      <c r="BC34" s="38">
        <f>$D34*K34+$T34*AA34+$AJ34*AQ34</f>
        <v>0</v>
      </c>
      <c r="BD34" s="38">
        <f>$D34*L34+$T34*AB34+$AJ34*AR34</f>
        <v>0</v>
      </c>
      <c r="BE34" s="38">
        <f>$D34*M34+$T34*AC34+$AJ34*AS34</f>
        <v>0</v>
      </c>
      <c r="BF34" s="39">
        <f>$D34*N34+$T34*AD34+$AJ34*AT34</f>
        <v>0</v>
      </c>
    </row>
    <row r="35" spans="1:60" ht="3" customHeight="1" thickBot="1" x14ac:dyDescent="0.3">
      <c r="A35" s="19"/>
      <c r="B35" s="72"/>
      <c r="D35" s="5"/>
      <c r="E35" s="338"/>
      <c r="F35" s="338"/>
      <c r="G35" s="338"/>
      <c r="H35" s="338"/>
      <c r="I35" s="338"/>
      <c r="J35" s="338"/>
      <c r="K35" s="338"/>
      <c r="L35" s="338"/>
      <c r="M35" s="338"/>
      <c r="N35" s="338"/>
      <c r="P35" s="72"/>
      <c r="Q35" s="72"/>
      <c r="R35" s="72"/>
      <c r="T35" s="5"/>
      <c r="U35" s="338"/>
      <c r="V35" s="338"/>
      <c r="W35" s="338"/>
      <c r="X35" s="338"/>
      <c r="Y35" s="338"/>
      <c r="Z35" s="338"/>
      <c r="AA35" s="338"/>
      <c r="AB35" s="338"/>
      <c r="AC35" s="338"/>
      <c r="AD35" s="338"/>
      <c r="AF35" s="72"/>
      <c r="AG35" s="72"/>
      <c r="AH35" s="72"/>
      <c r="AI35" s="5"/>
      <c r="AJ35" s="5"/>
      <c r="AK35" s="338"/>
      <c r="AL35" s="338"/>
      <c r="AM35" s="338"/>
      <c r="AN35" s="338"/>
      <c r="AO35" s="338"/>
      <c r="AP35" s="338"/>
      <c r="AQ35" s="338"/>
      <c r="AR35" s="338"/>
      <c r="AS35" s="338"/>
      <c r="AT35" s="338"/>
      <c r="AU35" s="18"/>
      <c r="AW35" s="42"/>
      <c r="AX35" s="38"/>
      <c r="AY35" s="38"/>
      <c r="AZ35" s="38"/>
      <c r="BA35" s="38"/>
      <c r="BB35" s="38">
        <f t="shared" si="0"/>
        <v>0</v>
      </c>
      <c r="BC35" s="38"/>
      <c r="BD35" s="38"/>
      <c r="BE35" s="38"/>
      <c r="BF35" s="39"/>
    </row>
    <row r="36" spans="1:60" ht="15.75" thickBot="1" x14ac:dyDescent="0.3">
      <c r="A36" s="19"/>
      <c r="B36" s="69" t="s">
        <v>13</v>
      </c>
      <c r="D36" s="57"/>
      <c r="E36" s="73"/>
      <c r="F36" s="73">
        <v>2</v>
      </c>
      <c r="G36" s="73">
        <v>2</v>
      </c>
      <c r="H36" s="73"/>
      <c r="I36" s="73">
        <v>-2</v>
      </c>
      <c r="J36" s="73">
        <v>2</v>
      </c>
      <c r="K36" s="73"/>
      <c r="L36" s="73"/>
      <c r="M36" s="73"/>
      <c r="N36" s="73"/>
      <c r="P36" s="341" t="s">
        <v>27</v>
      </c>
      <c r="Q36" s="341"/>
      <c r="R36" s="341"/>
      <c r="T36" s="57"/>
      <c r="U36" s="73">
        <v>1</v>
      </c>
      <c r="V36" s="73">
        <v>1</v>
      </c>
      <c r="W36" s="73">
        <v>1</v>
      </c>
      <c r="X36" s="73"/>
      <c r="Y36" s="73"/>
      <c r="Z36" s="73">
        <v>2</v>
      </c>
      <c r="AA36" s="73"/>
      <c r="AB36" s="73"/>
      <c r="AC36" s="73"/>
      <c r="AD36" s="73"/>
      <c r="AF36" s="341" t="s">
        <v>42</v>
      </c>
      <c r="AG36" s="341"/>
      <c r="AH36" s="341"/>
      <c r="AI36" s="5"/>
      <c r="AJ36" s="57"/>
      <c r="AK36" s="73">
        <v>4</v>
      </c>
      <c r="AL36" s="73"/>
      <c r="AM36" s="73"/>
      <c r="AN36" s="73"/>
      <c r="AO36" s="73"/>
      <c r="AP36" s="73">
        <v>4</v>
      </c>
      <c r="AQ36" s="73">
        <v>4000</v>
      </c>
      <c r="AR36" s="73">
        <v>3</v>
      </c>
      <c r="AS36" s="73">
        <v>2</v>
      </c>
      <c r="AT36" s="73">
        <v>1</v>
      </c>
      <c r="AU36" s="18"/>
      <c r="AW36" s="42">
        <f>$D36*E36+$T36*U36+$AJ36*AK36</f>
        <v>0</v>
      </c>
      <c r="AX36" s="38">
        <f>$D36*F36+$T36*V36+$AJ36*AL36</f>
        <v>0</v>
      </c>
      <c r="AY36" s="38">
        <f>$D36*G36+$T36*W36+$AJ36*AM36</f>
        <v>0</v>
      </c>
      <c r="AZ36" s="38">
        <f>$D36*H36+$T36*X36+$AJ36*AN36</f>
        <v>0</v>
      </c>
      <c r="BA36" s="38">
        <f>$D36*I36+$T36*Y36+$AJ36*AO36</f>
        <v>0</v>
      </c>
      <c r="BB36" s="38">
        <f t="shared" si="0"/>
        <v>0</v>
      </c>
      <c r="BC36" s="38">
        <f>$D36*K36+$T36*AA36+$AJ36*AQ36</f>
        <v>0</v>
      </c>
      <c r="BD36" s="38">
        <f>$D36*L36+$T36*AB36+$AJ36*AR36</f>
        <v>0</v>
      </c>
      <c r="BE36" s="38">
        <f>$D36*M36+$T36*AC36+$AJ36*AS36</f>
        <v>0</v>
      </c>
      <c r="BF36" s="39">
        <f>$D36*N36+$T36*AD36+$AJ36*AT36</f>
        <v>0</v>
      </c>
    </row>
    <row r="37" spans="1:60" ht="3" customHeight="1" thickBot="1" x14ac:dyDescent="0.3">
      <c r="A37" s="19"/>
      <c r="B37" s="72"/>
      <c r="D37" s="5"/>
      <c r="E37" s="338"/>
      <c r="F37" s="338"/>
      <c r="G37" s="338"/>
      <c r="H37" s="338"/>
      <c r="I37" s="338"/>
      <c r="J37" s="338"/>
      <c r="K37" s="338"/>
      <c r="L37" s="338"/>
      <c r="M37" s="338"/>
      <c r="N37" s="338"/>
      <c r="P37" s="72"/>
      <c r="Q37" s="72"/>
      <c r="R37" s="72"/>
      <c r="T37" s="5"/>
      <c r="U37" s="338"/>
      <c r="V37" s="338"/>
      <c r="W37" s="338"/>
      <c r="X37" s="338"/>
      <c r="Y37" s="338"/>
      <c r="Z37" s="338"/>
      <c r="AA37" s="338"/>
      <c r="AB37" s="338"/>
      <c r="AC37" s="338"/>
      <c r="AD37" s="338"/>
      <c r="AF37" s="72"/>
      <c r="AG37" s="72"/>
      <c r="AH37" s="72"/>
      <c r="AI37" s="5"/>
      <c r="AJ37" s="5"/>
      <c r="AK37" s="338"/>
      <c r="AL37" s="338"/>
      <c r="AM37" s="338"/>
      <c r="AN37" s="338"/>
      <c r="AO37" s="338"/>
      <c r="AP37" s="338"/>
      <c r="AQ37" s="338"/>
      <c r="AR37" s="338"/>
      <c r="AS37" s="338"/>
      <c r="AT37" s="338"/>
      <c r="AU37" s="18"/>
      <c r="AW37" s="42"/>
      <c r="AX37" s="38"/>
      <c r="AY37" s="38"/>
      <c r="AZ37" s="38"/>
      <c r="BA37" s="38"/>
      <c r="BB37" s="38">
        <f t="shared" si="0"/>
        <v>0</v>
      </c>
      <c r="BC37" s="38"/>
      <c r="BD37" s="38"/>
      <c r="BE37" s="38"/>
      <c r="BF37" s="39"/>
    </row>
    <row r="38" spans="1:60" ht="15.75" customHeight="1" thickBot="1" x14ac:dyDescent="0.3">
      <c r="A38" s="19"/>
      <c r="B38" s="69" t="s">
        <v>14</v>
      </c>
      <c r="D38" s="57"/>
      <c r="E38" s="73"/>
      <c r="F38" s="73">
        <v>1</v>
      </c>
      <c r="G38" s="73">
        <v>1</v>
      </c>
      <c r="H38" s="73"/>
      <c r="I38" s="73"/>
      <c r="J38" s="73">
        <v>1</v>
      </c>
      <c r="K38" s="73"/>
      <c r="L38" s="73"/>
      <c r="M38" s="73"/>
      <c r="N38" s="73"/>
      <c r="P38" s="341" t="s">
        <v>28</v>
      </c>
      <c r="Q38" s="341"/>
      <c r="R38" s="341"/>
      <c r="T38" s="57"/>
      <c r="U38" s="73"/>
      <c r="V38" s="73">
        <v>1</v>
      </c>
      <c r="W38" s="73"/>
      <c r="X38" s="73"/>
      <c r="Y38" s="73">
        <v>-1</v>
      </c>
      <c r="Z38" s="73">
        <v>1</v>
      </c>
      <c r="AA38" s="73"/>
      <c r="AB38" s="73"/>
      <c r="AC38" s="73"/>
      <c r="AD38" s="73"/>
      <c r="AH38" s="5"/>
      <c r="AI38" s="5"/>
      <c r="AJ38" s="5"/>
      <c r="AK38" s="73"/>
      <c r="AL38" s="73"/>
      <c r="AM38" s="73"/>
      <c r="AN38" s="73"/>
      <c r="AO38" s="73"/>
      <c r="AP38" s="73"/>
      <c r="AQ38" s="73"/>
      <c r="AR38" s="73"/>
      <c r="AS38" s="73"/>
      <c r="AT38" s="73"/>
      <c r="AU38" s="18"/>
      <c r="AW38" s="43">
        <f>$D38*E38+$T38*U38+$AJ38*AK38</f>
        <v>0</v>
      </c>
      <c r="AX38" s="40">
        <f>$D38*F38+$T38*V38+$AJ38*AL38</f>
        <v>0</v>
      </c>
      <c r="AY38" s="40">
        <f>$D38*G38+$T38*W38+$AJ38*AM38</f>
        <v>0</v>
      </c>
      <c r="AZ38" s="40">
        <f>$D38*H38+$T38*X38+$AJ38*AN38</f>
        <v>0</v>
      </c>
      <c r="BA38" s="40">
        <f>$D38*I38+$T38*Y38+$AJ38*AO38</f>
        <v>0</v>
      </c>
      <c r="BB38" s="40">
        <f t="shared" si="0"/>
        <v>0</v>
      </c>
      <c r="BC38" s="40">
        <f>$D38*K38+$T38*AA38+$AJ38*AQ38</f>
        <v>0</v>
      </c>
      <c r="BD38" s="40">
        <f>$D38*L38+$T38*AB38+$AJ38*AR38</f>
        <v>0</v>
      </c>
      <c r="BE38" s="40">
        <f>$D38*M38+$T38*AC38+$AJ38*AS38</f>
        <v>0</v>
      </c>
      <c r="BF38" s="41">
        <f>$D38*N38+$T38*AD38+$AJ38*AT38</f>
        <v>0</v>
      </c>
    </row>
    <row r="39" spans="1:60" ht="3" customHeight="1" x14ac:dyDescent="0.25">
      <c r="A39" s="19"/>
      <c r="B39" s="5"/>
      <c r="D39" s="5"/>
      <c r="E39" s="5"/>
      <c r="F39" s="5"/>
      <c r="G39" s="5"/>
      <c r="H39" s="5"/>
      <c r="I39" s="5"/>
      <c r="J39" s="5"/>
      <c r="K39" s="5"/>
      <c r="L39" s="5"/>
      <c r="M39" s="5"/>
      <c r="N39" s="5"/>
      <c r="R39" s="5"/>
      <c r="T39" s="5"/>
      <c r="U39" s="5"/>
      <c r="V39" s="5"/>
      <c r="W39" s="5"/>
      <c r="X39" s="5"/>
      <c r="Y39" s="5"/>
      <c r="Z39" s="5"/>
      <c r="AA39" s="5"/>
      <c r="AB39" s="5"/>
      <c r="AC39" s="5"/>
      <c r="AD39" s="5"/>
      <c r="AH39" s="5"/>
      <c r="AI39" s="5"/>
      <c r="AJ39" s="5"/>
      <c r="AK39" s="5"/>
      <c r="AL39" s="5"/>
      <c r="AM39" s="5"/>
      <c r="AN39" s="5"/>
      <c r="AO39" s="5"/>
      <c r="AP39" s="5"/>
      <c r="AQ39" s="5"/>
      <c r="AR39" s="5"/>
      <c r="AS39" s="5"/>
      <c r="AT39" s="5"/>
      <c r="AU39" s="18"/>
      <c r="AW39" s="339"/>
      <c r="AX39" s="339"/>
      <c r="AY39" s="339"/>
      <c r="AZ39" s="339"/>
      <c r="BA39" s="339"/>
      <c r="BB39" s="339">
        <f t="shared" si="0"/>
        <v>0</v>
      </c>
      <c r="BC39" s="339"/>
      <c r="BD39" s="339"/>
      <c r="BE39" s="339"/>
      <c r="BF39" s="339"/>
    </row>
    <row r="40" spans="1:60" s="5" customFormat="1" ht="15.75" customHeight="1" x14ac:dyDescent="0.25">
      <c r="A40" s="19"/>
      <c r="B40" s="359" t="s">
        <v>367</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37"/>
      <c r="AL40" s="337"/>
      <c r="AM40" s="337"/>
      <c r="AN40" s="337"/>
      <c r="AO40" s="337"/>
      <c r="AP40" s="337"/>
      <c r="AQ40" s="337"/>
      <c r="AR40" s="337"/>
      <c r="AS40" s="337"/>
      <c r="AT40" s="337"/>
      <c r="AU40" s="18"/>
    </row>
    <row r="41" spans="1:60" ht="3" customHeight="1" thickBot="1" x14ac:dyDescent="0.3">
      <c r="A41" s="19"/>
      <c r="B41" s="72"/>
      <c r="D41" s="5"/>
      <c r="E41" s="338"/>
      <c r="F41" s="338"/>
      <c r="G41" s="338"/>
      <c r="H41" s="338"/>
      <c r="I41" s="338"/>
      <c r="J41" s="338">
        <v>4</v>
      </c>
      <c r="K41" s="338"/>
      <c r="L41" s="338"/>
      <c r="M41" s="338"/>
      <c r="N41" s="338"/>
      <c r="P41" s="62"/>
      <c r="Q41" s="62"/>
      <c r="R41" s="62"/>
      <c r="T41" s="5"/>
      <c r="U41" s="338"/>
      <c r="V41" s="338"/>
      <c r="W41" s="338"/>
      <c r="X41" s="338"/>
      <c r="Y41" s="338"/>
      <c r="Z41" s="338"/>
      <c r="AA41" s="338"/>
      <c r="AB41" s="338"/>
      <c r="AC41" s="338"/>
      <c r="AD41" s="338"/>
      <c r="AF41" s="72"/>
      <c r="AG41" s="72"/>
      <c r="AH41" s="72"/>
      <c r="AI41" s="5"/>
      <c r="AJ41" s="5"/>
      <c r="AK41" s="338"/>
      <c r="AL41" s="338"/>
      <c r="AM41" s="338"/>
      <c r="AN41" s="338"/>
      <c r="AO41" s="338"/>
      <c r="AP41" s="338"/>
      <c r="AQ41" s="338"/>
      <c r="AR41" s="338"/>
      <c r="AS41" s="338"/>
      <c r="AT41" s="338"/>
      <c r="AU41" s="18"/>
      <c r="AW41" s="339"/>
      <c r="AX41" s="339"/>
      <c r="AY41" s="339"/>
      <c r="AZ41" s="339"/>
      <c r="BA41" s="339"/>
      <c r="BB41" s="339">
        <f t="shared" ref="BB41:BB48" si="1">$D41*J41+$T41*Z41+$AJ41*AP41</f>
        <v>0</v>
      </c>
      <c r="BC41" s="339"/>
      <c r="BD41" s="339"/>
      <c r="BE41" s="339"/>
      <c r="BF41" s="339"/>
    </row>
    <row r="42" spans="1:60" ht="15.75" thickBot="1" x14ac:dyDescent="0.3">
      <c r="A42" s="19"/>
      <c r="B42" s="69" t="s">
        <v>368</v>
      </c>
      <c r="D42" s="57"/>
      <c r="E42" s="73">
        <v>1</v>
      </c>
      <c r="F42" s="73">
        <v>1</v>
      </c>
      <c r="G42" s="73"/>
      <c r="H42" s="73"/>
      <c r="I42" s="73"/>
      <c r="J42" s="73">
        <v>1</v>
      </c>
      <c r="K42" s="73"/>
      <c r="L42" s="73"/>
      <c r="M42" s="73"/>
      <c r="N42" s="73"/>
      <c r="P42" s="454" t="s">
        <v>372</v>
      </c>
      <c r="Q42" s="454"/>
      <c r="R42" s="454"/>
      <c r="T42" s="57"/>
      <c r="U42" s="73">
        <v>2</v>
      </c>
      <c r="V42" s="73"/>
      <c r="W42" s="73"/>
      <c r="X42" s="73"/>
      <c r="Y42" s="73"/>
      <c r="Z42" s="73">
        <v>2</v>
      </c>
      <c r="AA42" s="73"/>
      <c r="AB42" s="73"/>
      <c r="AC42" s="73"/>
      <c r="AD42" s="73"/>
      <c r="AF42" s="454" t="s">
        <v>376</v>
      </c>
      <c r="AG42" s="454"/>
      <c r="AH42" s="454"/>
      <c r="AI42" s="5"/>
      <c r="AJ42" s="57"/>
      <c r="AK42" s="73"/>
      <c r="AL42" s="73">
        <v>1</v>
      </c>
      <c r="AM42" s="73">
        <v>1</v>
      </c>
      <c r="AN42" s="73"/>
      <c r="AO42" s="73">
        <v>-1</v>
      </c>
      <c r="AP42" s="73">
        <v>1</v>
      </c>
      <c r="AQ42" s="73"/>
      <c r="AR42" s="73"/>
      <c r="AS42" s="73"/>
      <c r="AT42" s="73"/>
      <c r="AU42" s="18"/>
      <c r="AW42" s="44">
        <f>$D42*E42+$T42*U42+$AJ42*AK42</f>
        <v>0</v>
      </c>
      <c r="AX42" s="36">
        <f>$D42*F42+$T42*V42+$AJ42*AL42</f>
        <v>0</v>
      </c>
      <c r="AY42" s="36">
        <f>$D42*G42+$T42*W42+$AJ42*AM42</f>
        <v>0</v>
      </c>
      <c r="AZ42" s="36">
        <f>$D42*H42+$T42*X42+$AJ42*AN42</f>
        <v>0</v>
      </c>
      <c r="BA42" s="36">
        <f>$D42*I42+$T42*Y42+$AJ42*AO42</f>
        <v>0</v>
      </c>
      <c r="BB42" s="36">
        <f t="shared" si="1"/>
        <v>0</v>
      </c>
      <c r="BC42" s="36">
        <f>$D42*K42+$T42*AA42+$AJ42*AQ42</f>
        <v>0</v>
      </c>
      <c r="BD42" s="36">
        <f>$D42*L42+$T42*AB42+$AJ42*AR42</f>
        <v>0</v>
      </c>
      <c r="BE42" s="36">
        <f>$D42*M42+$T42*AC42+$AJ42*AS42</f>
        <v>0</v>
      </c>
      <c r="BF42" s="37">
        <f>$D42*N42+$T42*AD42+$AJ42*AT42</f>
        <v>0</v>
      </c>
      <c r="BH42" s="21"/>
    </row>
    <row r="43" spans="1:60" ht="3" customHeight="1" thickBot="1" x14ac:dyDescent="0.3">
      <c r="A43" s="19"/>
      <c r="B43" s="72"/>
      <c r="D43" s="5"/>
      <c r="E43" s="338"/>
      <c r="F43" s="338"/>
      <c r="G43" s="338"/>
      <c r="H43" s="338"/>
      <c r="I43" s="338"/>
      <c r="J43" s="338"/>
      <c r="K43" s="338"/>
      <c r="L43" s="338"/>
      <c r="M43" s="338"/>
      <c r="N43" s="338"/>
      <c r="P43" s="72"/>
      <c r="Q43" s="72"/>
      <c r="R43" s="72"/>
      <c r="T43" s="5"/>
      <c r="U43" s="338"/>
      <c r="V43" s="338"/>
      <c r="W43" s="338"/>
      <c r="X43" s="338"/>
      <c r="Y43" s="338"/>
      <c r="Z43" s="338"/>
      <c r="AA43" s="338"/>
      <c r="AB43" s="338"/>
      <c r="AC43" s="338"/>
      <c r="AD43" s="338"/>
      <c r="AF43" s="72"/>
      <c r="AG43" s="72"/>
      <c r="AH43" s="72"/>
      <c r="AI43" s="5"/>
      <c r="AJ43" s="5"/>
      <c r="AK43" s="338"/>
      <c r="AL43" s="338"/>
      <c r="AM43" s="338"/>
      <c r="AN43" s="338"/>
      <c r="AO43" s="338"/>
      <c r="AP43" s="338"/>
      <c r="AQ43" s="338"/>
      <c r="AR43" s="338"/>
      <c r="AS43" s="338"/>
      <c r="AT43" s="338"/>
      <c r="AU43" s="18"/>
      <c r="AW43" s="42"/>
      <c r="AX43" s="38"/>
      <c r="AY43" s="38"/>
      <c r="AZ43" s="38"/>
      <c r="BA43" s="38"/>
      <c r="BB43" s="38">
        <f t="shared" si="1"/>
        <v>0</v>
      </c>
      <c r="BC43" s="38"/>
      <c r="BD43" s="38"/>
      <c r="BE43" s="38"/>
      <c r="BF43" s="39"/>
    </row>
    <row r="44" spans="1:60" ht="15.75" thickBot="1" x14ac:dyDescent="0.3">
      <c r="A44" s="19"/>
      <c r="B44" s="69" t="s">
        <v>369</v>
      </c>
      <c r="D44" s="57"/>
      <c r="E44" s="73"/>
      <c r="F44" s="73"/>
      <c r="G44" s="73">
        <v>2</v>
      </c>
      <c r="H44" s="73"/>
      <c r="I44" s="73"/>
      <c r="J44" s="73">
        <v>1</v>
      </c>
      <c r="K44" s="73"/>
      <c r="L44" s="73"/>
      <c r="M44" s="73"/>
      <c r="N44" s="73"/>
      <c r="P44" s="454" t="s">
        <v>373</v>
      </c>
      <c r="Q44" s="454"/>
      <c r="R44" s="454"/>
      <c r="T44" s="57"/>
      <c r="U44" s="73">
        <v>1</v>
      </c>
      <c r="V44" s="73"/>
      <c r="W44" s="73">
        <v>1</v>
      </c>
      <c r="X44" s="73">
        <v>1</v>
      </c>
      <c r="Y44" s="73"/>
      <c r="Z44" s="73">
        <v>1</v>
      </c>
      <c r="AA44" s="73"/>
      <c r="AB44" s="73"/>
      <c r="AC44" s="73"/>
      <c r="AD44" s="73"/>
      <c r="AF44" s="454" t="s">
        <v>377</v>
      </c>
      <c r="AG44" s="454"/>
      <c r="AH44" s="454"/>
      <c r="AI44" s="5"/>
      <c r="AJ44" s="57"/>
      <c r="AK44" s="73">
        <v>1</v>
      </c>
      <c r="AL44" s="73"/>
      <c r="AM44" s="73">
        <v>1</v>
      </c>
      <c r="AN44" s="73"/>
      <c r="AO44" s="73"/>
      <c r="AP44" s="73">
        <v>1</v>
      </c>
      <c r="AQ44" s="73"/>
      <c r="AR44" s="73"/>
      <c r="AS44" s="73"/>
      <c r="AT44" s="73"/>
      <c r="AU44" s="18"/>
      <c r="AW44" s="42">
        <f>$D44*E44+$T44*U44+$AJ44*AK44</f>
        <v>0</v>
      </c>
      <c r="AX44" s="38">
        <f>$D44*F44+$T44*V44+$AJ44*AL44</f>
        <v>0</v>
      </c>
      <c r="AY44" s="38">
        <f>$D44*G44+$T44*W44+$AJ44*AM44</f>
        <v>0</v>
      </c>
      <c r="AZ44" s="38">
        <f>$D44*H44+$T44*X44+$AJ44*AN44</f>
        <v>0</v>
      </c>
      <c r="BA44" s="38">
        <f>$D44*I44+$T44*Y44+$AJ44*AO44</f>
        <v>0</v>
      </c>
      <c r="BB44" s="38">
        <f t="shared" si="1"/>
        <v>0</v>
      </c>
      <c r="BC44" s="38">
        <f>$D44*K44+$T44*AA44+$AJ44*AQ44</f>
        <v>0</v>
      </c>
      <c r="BD44" s="38">
        <f>$D44*L44+$T44*AB44+$AJ44*AR44</f>
        <v>0</v>
      </c>
      <c r="BE44" s="38">
        <f>$D44*M44+$T44*AC44+$AJ44*AS44</f>
        <v>0</v>
      </c>
      <c r="BF44" s="39">
        <f>$D44*N44+$T44*AD44+$AJ44*AT44</f>
        <v>0</v>
      </c>
    </row>
    <row r="45" spans="1:60" ht="3" customHeight="1" thickBot="1" x14ac:dyDescent="0.3">
      <c r="A45" s="19"/>
      <c r="B45" s="72"/>
      <c r="D45" s="5"/>
      <c r="E45" s="338"/>
      <c r="F45" s="338"/>
      <c r="G45" s="338"/>
      <c r="H45" s="338"/>
      <c r="I45" s="338"/>
      <c r="J45" s="338"/>
      <c r="K45" s="338"/>
      <c r="L45" s="338"/>
      <c r="M45" s="338"/>
      <c r="N45" s="338"/>
      <c r="P45" s="72"/>
      <c r="Q45" s="72"/>
      <c r="R45" s="72"/>
      <c r="T45" s="5"/>
      <c r="U45" s="338"/>
      <c r="V45" s="338"/>
      <c r="W45" s="338"/>
      <c r="X45" s="338"/>
      <c r="Y45" s="338"/>
      <c r="Z45" s="338"/>
      <c r="AA45" s="338"/>
      <c r="AB45" s="338"/>
      <c r="AC45" s="338"/>
      <c r="AD45" s="338"/>
      <c r="AF45" s="72"/>
      <c r="AG45" s="72"/>
      <c r="AH45" s="72"/>
      <c r="AI45" s="5"/>
      <c r="AJ45" s="5"/>
      <c r="AK45" s="338"/>
      <c r="AL45" s="338"/>
      <c r="AM45" s="338"/>
      <c r="AN45" s="338"/>
      <c r="AO45" s="338"/>
      <c r="AP45" s="338"/>
      <c r="AQ45" s="338"/>
      <c r="AR45" s="338"/>
      <c r="AS45" s="338"/>
      <c r="AT45" s="338"/>
      <c r="AU45" s="18"/>
      <c r="AW45" s="42"/>
      <c r="AX45" s="38"/>
      <c r="AY45" s="38"/>
      <c r="AZ45" s="38"/>
      <c r="BA45" s="38"/>
      <c r="BB45" s="38">
        <f t="shared" si="1"/>
        <v>0</v>
      </c>
      <c r="BC45" s="38"/>
      <c r="BD45" s="38"/>
      <c r="BE45" s="38"/>
      <c r="BF45" s="39"/>
    </row>
    <row r="46" spans="1:60" ht="15.75" thickBot="1" x14ac:dyDescent="0.3">
      <c r="A46" s="19"/>
      <c r="B46" s="69" t="s">
        <v>370</v>
      </c>
      <c r="D46" s="57"/>
      <c r="E46" s="73">
        <v>1</v>
      </c>
      <c r="F46" s="73"/>
      <c r="G46" s="73">
        <v>1</v>
      </c>
      <c r="H46" s="73"/>
      <c r="I46" s="73"/>
      <c r="J46" s="73">
        <v>1</v>
      </c>
      <c r="K46" s="73"/>
      <c r="L46" s="73"/>
      <c r="M46" s="73"/>
      <c r="N46" s="73"/>
      <c r="P46" s="454" t="s">
        <v>374</v>
      </c>
      <c r="Q46" s="454"/>
      <c r="R46" s="454"/>
      <c r="T46" s="57"/>
      <c r="U46" s="73"/>
      <c r="V46" s="73">
        <v>1</v>
      </c>
      <c r="W46" s="73">
        <v>1</v>
      </c>
      <c r="X46" s="73">
        <v>2</v>
      </c>
      <c r="Y46" s="73"/>
      <c r="Z46" s="73">
        <v>1</v>
      </c>
      <c r="AA46" s="73"/>
      <c r="AB46" s="73"/>
      <c r="AC46" s="73"/>
      <c r="AD46" s="73"/>
      <c r="AF46" s="454" t="s">
        <v>378</v>
      </c>
      <c r="AG46" s="454"/>
      <c r="AH46" s="454"/>
      <c r="AI46" s="5"/>
      <c r="AJ46" s="57"/>
      <c r="AK46" s="73">
        <v>1</v>
      </c>
      <c r="AL46" s="73"/>
      <c r="AM46" s="73"/>
      <c r="AN46" s="73"/>
      <c r="AO46" s="73">
        <v>1</v>
      </c>
      <c r="AP46" s="73">
        <v>1</v>
      </c>
      <c r="AQ46" s="73"/>
      <c r="AR46" s="73">
        <v>2</v>
      </c>
      <c r="AS46" s="73">
        <v>1</v>
      </c>
      <c r="AT46" s="73"/>
      <c r="AU46" s="18"/>
      <c r="AW46" s="42">
        <f>$D46*E46+$T46*U46+$AJ46*AK46</f>
        <v>0</v>
      </c>
      <c r="AX46" s="38">
        <f>$D46*F46+$T46*V46+$AJ46*AL46</f>
        <v>0</v>
      </c>
      <c r="AY46" s="38">
        <f>$D46*G46+$T46*W46+$AJ46*AM46</f>
        <v>0</v>
      </c>
      <c r="AZ46" s="38">
        <f>$D46*H46+$T46*X46+$AJ46*AN46</f>
        <v>0</v>
      </c>
      <c r="BA46" s="38">
        <f>$D46*I46+$T46*Y46+$AJ46*AO46</f>
        <v>0</v>
      </c>
      <c r="BB46" s="38">
        <f t="shared" si="1"/>
        <v>0</v>
      </c>
      <c r="BC46" s="38">
        <f>$D46*K46+$T46*AA46+$AJ46*AQ46</f>
        <v>0</v>
      </c>
      <c r="BD46" s="38">
        <f>$D46*L46+$T46*AB46+$AJ46*AR46</f>
        <v>0</v>
      </c>
      <c r="BE46" s="38">
        <f>$D46*M46+$T46*AC46+$AJ46*AS46</f>
        <v>0</v>
      </c>
      <c r="BF46" s="39">
        <f>$D46*N46+$T46*AD46+$AJ46*AT46</f>
        <v>0</v>
      </c>
    </row>
    <row r="47" spans="1:60" ht="3" customHeight="1" thickBot="1" x14ac:dyDescent="0.3">
      <c r="A47" s="19"/>
      <c r="B47" s="72"/>
      <c r="D47" s="5"/>
      <c r="E47" s="338"/>
      <c r="F47" s="338"/>
      <c r="G47" s="338"/>
      <c r="H47" s="338"/>
      <c r="I47" s="338"/>
      <c r="J47" s="338"/>
      <c r="K47" s="338"/>
      <c r="L47" s="338"/>
      <c r="M47" s="338"/>
      <c r="N47" s="338"/>
      <c r="P47" s="72"/>
      <c r="Q47" s="72"/>
      <c r="R47" s="72"/>
      <c r="T47" s="5"/>
      <c r="U47" s="338"/>
      <c r="V47" s="338"/>
      <c r="W47" s="338"/>
      <c r="X47" s="338"/>
      <c r="Y47" s="338"/>
      <c r="Z47" s="338"/>
      <c r="AA47" s="338"/>
      <c r="AB47" s="338"/>
      <c r="AC47" s="338"/>
      <c r="AD47" s="338"/>
      <c r="AF47" s="72"/>
      <c r="AG47" s="72"/>
      <c r="AH47" s="72"/>
      <c r="AI47" s="5"/>
      <c r="AJ47" s="5"/>
      <c r="AK47" s="338"/>
      <c r="AL47" s="338"/>
      <c r="AM47" s="338"/>
      <c r="AN47" s="338"/>
      <c r="AO47" s="338"/>
      <c r="AP47" s="338"/>
      <c r="AQ47" s="338"/>
      <c r="AR47" s="338"/>
      <c r="AS47" s="338"/>
      <c r="AT47" s="338"/>
      <c r="AU47" s="18"/>
      <c r="AW47" s="42"/>
      <c r="AX47" s="38"/>
      <c r="AY47" s="38"/>
      <c r="AZ47" s="38"/>
      <c r="BA47" s="38"/>
      <c r="BB47" s="38">
        <f t="shared" si="1"/>
        <v>0</v>
      </c>
      <c r="BC47" s="38"/>
      <c r="BD47" s="38"/>
      <c r="BE47" s="38"/>
      <c r="BF47" s="39"/>
    </row>
    <row r="48" spans="1:60" ht="15.75" thickBot="1" x14ac:dyDescent="0.3">
      <c r="A48" s="19"/>
      <c r="B48" s="69" t="s">
        <v>371</v>
      </c>
      <c r="D48" s="57"/>
      <c r="E48" s="73">
        <v>1</v>
      </c>
      <c r="F48" s="73">
        <v>1</v>
      </c>
      <c r="G48" s="73"/>
      <c r="H48" s="73"/>
      <c r="I48" s="73"/>
      <c r="J48" s="73">
        <v>1</v>
      </c>
      <c r="K48" s="73"/>
      <c r="L48" s="73"/>
      <c r="M48" s="73"/>
      <c r="N48" s="73"/>
      <c r="P48" s="454" t="s">
        <v>375</v>
      </c>
      <c r="Q48" s="454"/>
      <c r="R48" s="454"/>
      <c r="T48" s="57"/>
      <c r="U48" s="73"/>
      <c r="V48" s="73">
        <v>1</v>
      </c>
      <c r="W48" s="73">
        <v>1</v>
      </c>
      <c r="X48" s="73"/>
      <c r="Y48" s="73"/>
      <c r="Z48" s="73">
        <v>1</v>
      </c>
      <c r="AA48" s="73"/>
      <c r="AB48" s="73"/>
      <c r="AC48" s="73"/>
      <c r="AD48" s="73"/>
      <c r="AF48" s="454" t="s">
        <v>1248</v>
      </c>
      <c r="AG48" s="458"/>
      <c r="AH48" s="458"/>
      <c r="AI48" s="5"/>
      <c r="AJ48" s="57"/>
      <c r="AK48" s="93"/>
      <c r="AL48" s="73">
        <v>1</v>
      </c>
      <c r="AM48" s="73">
        <v>1</v>
      </c>
      <c r="AN48" s="73"/>
      <c r="AO48" s="73">
        <v>-1</v>
      </c>
      <c r="AP48" s="73">
        <v>1</v>
      </c>
      <c r="AQ48" s="73"/>
      <c r="AR48" s="73"/>
      <c r="AS48" s="73"/>
      <c r="AT48" s="73"/>
      <c r="AU48" s="18"/>
      <c r="AW48" s="43">
        <f>$D48*E48+$T48*U48+$AJ48*AK48</f>
        <v>0</v>
      </c>
      <c r="AX48" s="40">
        <f>$D48*F48+$T48*V48+$AJ48*AL48</f>
        <v>0</v>
      </c>
      <c r="AY48" s="40">
        <f>$D48*G48+$T48*W48+$AJ48*AM48</f>
        <v>0</v>
      </c>
      <c r="AZ48" s="40">
        <f>$D48*H48+$T48*X48+$AJ48*AN48</f>
        <v>0</v>
      </c>
      <c r="BA48" s="40">
        <f>$D48*I48+$T48*Y48+$AJ48*AO48</f>
        <v>0</v>
      </c>
      <c r="BB48" s="40">
        <f t="shared" si="1"/>
        <v>0</v>
      </c>
      <c r="BC48" s="40">
        <f>$D48*K48+$T48*AA48+$AJ48*AQ48</f>
        <v>0</v>
      </c>
      <c r="BD48" s="40">
        <f>$D48*L48+$T48*AB48+$AJ48*AR48</f>
        <v>0</v>
      </c>
      <c r="BE48" s="40">
        <f>$D48*M48+$T48*AC48+$AJ48*AS48</f>
        <v>0</v>
      </c>
      <c r="BF48" s="41">
        <f>$D48*N48+$T48*AD48+$AJ48*AT48</f>
        <v>0</v>
      </c>
    </row>
    <row r="49" spans="1:58" ht="3" customHeight="1" x14ac:dyDescent="0.25">
      <c r="A49" s="19"/>
      <c r="B49" s="5"/>
      <c r="D49" s="5"/>
      <c r="E49" s="5"/>
      <c r="F49" s="5"/>
      <c r="G49" s="5"/>
      <c r="H49" s="5"/>
      <c r="I49" s="5"/>
      <c r="J49" s="5"/>
      <c r="K49" s="5"/>
      <c r="L49" s="5"/>
      <c r="M49" s="5"/>
      <c r="N49" s="5"/>
      <c r="R49" s="5"/>
      <c r="T49" s="5"/>
      <c r="U49" s="5"/>
      <c r="V49" s="5"/>
      <c r="W49" s="5"/>
      <c r="X49" s="5"/>
      <c r="Y49" s="5"/>
      <c r="Z49" s="5"/>
      <c r="AA49" s="5"/>
      <c r="AB49" s="5"/>
      <c r="AC49" s="5"/>
      <c r="AD49" s="5"/>
      <c r="AH49" s="5"/>
      <c r="AI49" s="5"/>
      <c r="AJ49" s="5"/>
      <c r="AK49" s="5"/>
      <c r="AL49" s="5"/>
      <c r="AM49" s="5"/>
      <c r="AN49" s="5"/>
      <c r="AO49" s="5"/>
      <c r="AP49" s="5"/>
      <c r="AQ49" s="5"/>
      <c r="AR49" s="5"/>
      <c r="AS49" s="5"/>
      <c r="AT49" s="5"/>
      <c r="AU49" s="18"/>
      <c r="AW49" s="339"/>
      <c r="AX49" s="339"/>
      <c r="AY49" s="339"/>
      <c r="AZ49" s="339"/>
      <c r="BA49" s="339"/>
      <c r="BB49" s="339">
        <f t="shared" si="0"/>
        <v>0</v>
      </c>
      <c r="BC49" s="339"/>
      <c r="BD49" s="339"/>
      <c r="BE49" s="339"/>
      <c r="BF49" s="339"/>
    </row>
    <row r="50" spans="1:58" s="5" customFormat="1" x14ac:dyDescent="0.25">
      <c r="A50" s="19"/>
      <c r="B50" s="359" t="s">
        <v>149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37"/>
      <c r="AL50" s="337"/>
      <c r="AM50" s="337"/>
      <c r="AN50" s="337"/>
      <c r="AO50" s="337"/>
      <c r="AP50" s="337"/>
      <c r="AQ50" s="337"/>
      <c r="AR50" s="337"/>
      <c r="AS50" s="337"/>
      <c r="AT50" s="337"/>
      <c r="AU50" s="18"/>
    </row>
    <row r="51" spans="1:58" s="5" customFormat="1" ht="3" customHeight="1" thickBot="1" x14ac:dyDescent="0.3">
      <c r="A51" s="19"/>
      <c r="C51" s="11"/>
      <c r="E51" s="11"/>
      <c r="F51" s="11"/>
      <c r="G51" s="11"/>
      <c r="H51" s="11"/>
      <c r="I51" s="11"/>
      <c r="J51" s="11"/>
      <c r="K51" s="11"/>
      <c r="L51" s="11"/>
      <c r="M51" s="11"/>
      <c r="N51" s="11"/>
      <c r="S51" s="11"/>
      <c r="U51" s="11"/>
      <c r="V51" s="11"/>
      <c r="W51" s="11"/>
      <c r="X51" s="11"/>
      <c r="Y51" s="11"/>
      <c r="Z51" s="11"/>
      <c r="AA51" s="11"/>
      <c r="AB51" s="11"/>
      <c r="AC51" s="11"/>
      <c r="AD51" s="11"/>
      <c r="AK51" s="11"/>
      <c r="AL51" s="11"/>
      <c r="AM51" s="11"/>
      <c r="AN51" s="11"/>
      <c r="AO51" s="11"/>
      <c r="AP51" s="11"/>
      <c r="AQ51" s="11"/>
      <c r="AR51" s="11"/>
      <c r="AS51" s="11"/>
      <c r="AT51" s="11"/>
      <c r="AU51" s="18"/>
    </row>
    <row r="52" spans="1:58" ht="15.75" thickBot="1" x14ac:dyDescent="0.3">
      <c r="A52" s="19"/>
      <c r="B52" s="341" t="s">
        <v>150</v>
      </c>
      <c r="C52" s="94"/>
      <c r="D52" s="2">
        <f>BD66</f>
        <v>0</v>
      </c>
      <c r="E52" s="21"/>
      <c r="F52" s="21"/>
      <c r="G52" s="21"/>
      <c r="H52" s="21"/>
      <c r="I52" s="21"/>
      <c r="J52" s="21"/>
      <c r="K52" s="21"/>
      <c r="L52" s="21"/>
      <c r="M52" s="21"/>
      <c r="N52" s="21"/>
      <c r="O52" s="11"/>
      <c r="P52" s="454" t="s">
        <v>174</v>
      </c>
      <c r="Q52" s="454"/>
      <c r="R52" s="454"/>
      <c r="S52" s="94"/>
      <c r="T52" s="2">
        <f>BE66</f>
        <v>0</v>
      </c>
      <c r="U52" s="21"/>
      <c r="V52" s="21"/>
      <c r="W52" s="21"/>
      <c r="X52" s="21"/>
      <c r="Y52" s="21"/>
      <c r="Z52" s="21"/>
      <c r="AA52" s="21"/>
      <c r="AB52" s="21"/>
      <c r="AC52" s="21"/>
      <c r="AD52" s="21"/>
      <c r="AE52" s="11"/>
      <c r="AF52" s="454" t="s">
        <v>151</v>
      </c>
      <c r="AG52" s="454"/>
      <c r="AH52" s="454"/>
      <c r="AI52" s="94"/>
      <c r="AJ52" s="2">
        <f>BF66</f>
        <v>0</v>
      </c>
      <c r="AK52" s="93"/>
      <c r="AL52" s="73"/>
      <c r="AM52" s="73"/>
      <c r="AN52" s="73"/>
      <c r="AO52" s="73"/>
      <c r="AP52" s="73"/>
      <c r="AQ52" s="73"/>
      <c r="AR52" s="73"/>
      <c r="AS52" s="73"/>
      <c r="AT52" s="73"/>
      <c r="AU52" s="18"/>
      <c r="AW52" s="339"/>
      <c r="AX52" s="339"/>
      <c r="AY52" s="339"/>
      <c r="AZ52" s="339"/>
      <c r="BA52" s="339"/>
      <c r="BB52" s="339"/>
      <c r="BC52" s="339"/>
      <c r="BD52" s="339"/>
      <c r="BE52" s="339"/>
      <c r="BF52" s="339"/>
    </row>
    <row r="53" spans="1:58" ht="3" customHeight="1" thickBot="1" x14ac:dyDescent="0.3">
      <c r="A53" s="19"/>
      <c r="B53" s="11"/>
      <c r="D53" s="11"/>
      <c r="E53" s="11"/>
      <c r="F53" s="11"/>
      <c r="G53" s="11"/>
      <c r="H53" s="11"/>
      <c r="I53" s="11"/>
      <c r="J53" s="11"/>
      <c r="K53" s="11"/>
      <c r="L53" s="11"/>
      <c r="M53" s="11"/>
      <c r="N53" s="11"/>
      <c r="O53" s="11"/>
      <c r="P53" s="11"/>
      <c r="Q53" s="11"/>
      <c r="R53" s="11"/>
      <c r="T53" s="11"/>
      <c r="U53" s="11"/>
      <c r="V53" s="11"/>
      <c r="W53" s="11"/>
      <c r="X53" s="11"/>
      <c r="Y53" s="11"/>
      <c r="Z53" s="11"/>
      <c r="AA53" s="11"/>
      <c r="AB53" s="11"/>
      <c r="AC53" s="11"/>
      <c r="AD53" s="11"/>
      <c r="AE53" s="11"/>
      <c r="AF53" s="11"/>
      <c r="AG53" s="11"/>
      <c r="AH53" s="11"/>
      <c r="AI53" s="11"/>
      <c r="AJ53" s="11"/>
      <c r="AK53" s="5"/>
      <c r="AL53" s="5"/>
      <c r="AM53" s="5"/>
      <c r="AN53" s="5"/>
      <c r="AO53" s="5"/>
      <c r="AP53" s="5"/>
      <c r="AQ53" s="5"/>
      <c r="AR53" s="5"/>
      <c r="AS53" s="5"/>
      <c r="AT53" s="5"/>
      <c r="AU53" s="18"/>
      <c r="AW53" s="339"/>
      <c r="AX53" s="339"/>
      <c r="AY53" s="339"/>
      <c r="AZ53" s="339"/>
      <c r="BA53" s="339"/>
      <c r="BB53" s="339">
        <f t="shared" ref="BB53:BB65" si="2">$D53*J53+$T53*Z53+$AJ53*AP53</f>
        <v>0</v>
      </c>
      <c r="BC53" s="339"/>
      <c r="BD53" s="339"/>
      <c r="BE53" s="339"/>
      <c r="BF53" s="339"/>
    </row>
    <row r="54" spans="1:58" ht="15.75" thickBot="1" x14ac:dyDescent="0.3">
      <c r="A54" s="19"/>
      <c r="B54" s="471"/>
      <c r="C54" s="469"/>
      <c r="D54" s="470"/>
      <c r="E54" s="21"/>
      <c r="F54" s="21"/>
      <c r="G54" s="21"/>
      <c r="H54" s="21"/>
      <c r="I54" s="21"/>
      <c r="J54" s="21"/>
      <c r="K54" s="21"/>
      <c r="L54" s="21"/>
      <c r="M54" s="21"/>
      <c r="N54" s="21"/>
      <c r="O54" s="11"/>
      <c r="P54" s="471"/>
      <c r="Q54" s="469"/>
      <c r="R54" s="469"/>
      <c r="S54" s="469"/>
      <c r="T54" s="470"/>
      <c r="U54" s="21"/>
      <c r="V54" s="21"/>
      <c r="W54" s="21"/>
      <c r="X54" s="21"/>
      <c r="Y54" s="21"/>
      <c r="Z54" s="21"/>
      <c r="AA54" s="21"/>
      <c r="AB54" s="21"/>
      <c r="AC54" s="21"/>
      <c r="AD54" s="21"/>
      <c r="AE54" s="11"/>
      <c r="AF54" s="468"/>
      <c r="AG54" s="474"/>
      <c r="AH54" s="474"/>
      <c r="AI54" s="474"/>
      <c r="AJ54" s="475"/>
      <c r="AK54" s="93"/>
      <c r="AL54" s="73"/>
      <c r="AM54" s="73"/>
      <c r="AN54" s="73"/>
      <c r="AO54" s="73"/>
      <c r="AP54" s="73"/>
      <c r="AQ54" s="73"/>
      <c r="AR54" s="73"/>
      <c r="AS54" s="73"/>
      <c r="AT54" s="73"/>
      <c r="AU54" s="18"/>
      <c r="AW54" s="44">
        <f>$D54*E54+$T54*U54+$AJ54*AK54</f>
        <v>0</v>
      </c>
      <c r="AX54" s="36">
        <f>$D54*F54+$T54*V54+$AJ54*AL54</f>
        <v>0</v>
      </c>
      <c r="AY54" s="36">
        <f>$D54*G54+$T54*W54+$AJ54*AM54</f>
        <v>0</v>
      </c>
      <c r="AZ54" s="36">
        <f>$D54*H54+$T54*X54+$AJ54*AN54</f>
        <v>0</v>
      </c>
      <c r="BA54" s="36">
        <f>$D54*I54+$T54*Y54+$AJ54*AO54</f>
        <v>0</v>
      </c>
      <c r="BB54" s="36">
        <f t="shared" si="2"/>
        <v>0</v>
      </c>
      <c r="BC54" s="36">
        <f>$D54*K54+$T54*AA54+$AJ54*AQ54</f>
        <v>0</v>
      </c>
      <c r="BD54" s="36">
        <f>$D54*L54+$T54*AB54+$AJ54*AR54</f>
        <v>0</v>
      </c>
      <c r="BE54" s="36">
        <f>$D54*M54+$T54*AC54+$AJ54*AS54</f>
        <v>0</v>
      </c>
      <c r="BF54" s="37">
        <f>$D54*N54+$T54*AD54+$AJ54*AT54</f>
        <v>0</v>
      </c>
    </row>
    <row r="55" spans="1:58" ht="3" customHeight="1" thickBot="1" x14ac:dyDescent="0.3">
      <c r="A55" s="19"/>
      <c r="B55" s="154"/>
      <c r="C55" s="154"/>
      <c r="D55" s="154"/>
      <c r="E55" s="11"/>
      <c r="F55" s="11"/>
      <c r="G55" s="11"/>
      <c r="H55" s="11"/>
      <c r="I55" s="11"/>
      <c r="J55" s="11"/>
      <c r="K55" s="11"/>
      <c r="L55" s="11"/>
      <c r="M55" s="11"/>
      <c r="N55" s="11"/>
      <c r="O55" s="11"/>
      <c r="P55" s="154"/>
      <c r="Q55" s="154"/>
      <c r="R55" s="154"/>
      <c r="S55" s="154"/>
      <c r="T55" s="154"/>
      <c r="U55" s="11"/>
      <c r="V55" s="11"/>
      <c r="W55" s="11"/>
      <c r="X55" s="11"/>
      <c r="Y55" s="11"/>
      <c r="Z55" s="11"/>
      <c r="AA55" s="11"/>
      <c r="AB55" s="11"/>
      <c r="AC55" s="11"/>
      <c r="AD55" s="11"/>
      <c r="AE55" s="11"/>
      <c r="AF55" s="156"/>
      <c r="AG55" s="156"/>
      <c r="AH55" s="156"/>
      <c r="AI55" s="156"/>
      <c r="AJ55" s="156"/>
      <c r="AK55" s="5"/>
      <c r="AL55" s="5"/>
      <c r="AM55" s="5"/>
      <c r="AN55" s="5"/>
      <c r="AO55" s="5"/>
      <c r="AP55" s="5"/>
      <c r="AQ55" s="5"/>
      <c r="AR55" s="5"/>
      <c r="AS55" s="5"/>
      <c r="AT55" s="5"/>
      <c r="AU55" s="18"/>
      <c r="AW55" s="42"/>
      <c r="AX55" s="38"/>
      <c r="AY55" s="38"/>
      <c r="AZ55" s="38"/>
      <c r="BA55" s="38"/>
      <c r="BB55" s="38">
        <f t="shared" si="2"/>
        <v>0</v>
      </c>
      <c r="BC55" s="38"/>
      <c r="BD55" s="38"/>
      <c r="BE55" s="38"/>
      <c r="BF55" s="39"/>
    </row>
    <row r="56" spans="1:58" ht="15.75" thickBot="1" x14ac:dyDescent="0.3">
      <c r="A56" s="19"/>
      <c r="B56" s="471"/>
      <c r="C56" s="469"/>
      <c r="D56" s="470"/>
      <c r="E56" s="21"/>
      <c r="F56" s="21"/>
      <c r="G56" s="21"/>
      <c r="H56" s="21"/>
      <c r="I56" s="21"/>
      <c r="J56" s="21"/>
      <c r="K56" s="21"/>
      <c r="L56" s="21"/>
      <c r="M56" s="21"/>
      <c r="N56" s="21"/>
      <c r="O56" s="11"/>
      <c r="P56" s="471"/>
      <c r="Q56" s="469"/>
      <c r="R56" s="469"/>
      <c r="S56" s="469"/>
      <c r="T56" s="470"/>
      <c r="U56" s="21"/>
      <c r="V56" s="21"/>
      <c r="W56" s="21"/>
      <c r="X56" s="21"/>
      <c r="Y56" s="21"/>
      <c r="Z56" s="21"/>
      <c r="AA56" s="21"/>
      <c r="AB56" s="21"/>
      <c r="AC56" s="21"/>
      <c r="AD56" s="21"/>
      <c r="AE56" s="11"/>
      <c r="AF56" s="468"/>
      <c r="AG56" s="474"/>
      <c r="AH56" s="474"/>
      <c r="AI56" s="474"/>
      <c r="AJ56" s="475"/>
      <c r="AK56" s="93"/>
      <c r="AL56" s="73"/>
      <c r="AM56" s="73"/>
      <c r="AN56" s="73"/>
      <c r="AO56" s="73"/>
      <c r="AP56" s="73"/>
      <c r="AQ56" s="73"/>
      <c r="AR56" s="73"/>
      <c r="AS56" s="73"/>
      <c r="AT56" s="73"/>
      <c r="AU56" s="18"/>
      <c r="AW56" s="42">
        <f>$D56*E56+$T56*U56+$AJ56*AK56</f>
        <v>0</v>
      </c>
      <c r="AX56" s="38">
        <f>$D56*F56+$T56*V56+$AJ56*AL56</f>
        <v>0</v>
      </c>
      <c r="AY56" s="38">
        <f>$D56*G56+$T56*W56+$AJ56*AM56</f>
        <v>0</v>
      </c>
      <c r="AZ56" s="38">
        <f>$D56*H56+$T56*X56+$AJ56*AN56</f>
        <v>0</v>
      </c>
      <c r="BA56" s="38">
        <f>$D56*I56+$T56*Y56+$AJ56*AO56</f>
        <v>0</v>
      </c>
      <c r="BB56" s="38">
        <f t="shared" si="2"/>
        <v>0</v>
      </c>
      <c r="BC56" s="38">
        <f>$D56*K56+$T56*AA56+$AJ56*AQ56</f>
        <v>0</v>
      </c>
      <c r="BD56" s="38">
        <f>$D56*L56+$T56*AB56+$AJ56*AR56</f>
        <v>0</v>
      </c>
      <c r="BE56" s="38">
        <f>$D56*M56+$T56*AC56+$AJ56*AS56</f>
        <v>0</v>
      </c>
      <c r="BF56" s="39">
        <f>$D56*N56+$T56*AD56+$AJ56*AT56</f>
        <v>0</v>
      </c>
    </row>
    <row r="57" spans="1:58" ht="3" customHeight="1" thickBot="1" x14ac:dyDescent="0.3">
      <c r="A57" s="19"/>
      <c r="B57" s="154"/>
      <c r="C57" s="154"/>
      <c r="D57" s="154"/>
      <c r="E57" s="11"/>
      <c r="F57" s="11"/>
      <c r="G57" s="11"/>
      <c r="H57" s="11"/>
      <c r="I57" s="11"/>
      <c r="J57" s="11"/>
      <c r="K57" s="11"/>
      <c r="L57" s="11"/>
      <c r="M57" s="11"/>
      <c r="N57" s="11"/>
      <c r="O57" s="11"/>
      <c r="P57" s="154"/>
      <c r="Q57" s="154"/>
      <c r="R57" s="154"/>
      <c r="S57" s="154"/>
      <c r="T57" s="154"/>
      <c r="U57" s="11"/>
      <c r="V57" s="11"/>
      <c r="W57" s="11"/>
      <c r="X57" s="11"/>
      <c r="Y57" s="11"/>
      <c r="Z57" s="11"/>
      <c r="AA57" s="11"/>
      <c r="AB57" s="11"/>
      <c r="AC57" s="11"/>
      <c r="AD57" s="11"/>
      <c r="AE57" s="11"/>
      <c r="AF57" s="156"/>
      <c r="AG57" s="156"/>
      <c r="AH57" s="156"/>
      <c r="AI57" s="156"/>
      <c r="AJ57" s="156"/>
      <c r="AK57" s="5"/>
      <c r="AL57" s="5"/>
      <c r="AM57" s="5"/>
      <c r="AN57" s="5"/>
      <c r="AO57" s="5"/>
      <c r="AP57" s="5"/>
      <c r="AQ57" s="5"/>
      <c r="AR57" s="5"/>
      <c r="AS57" s="5"/>
      <c r="AT57" s="5"/>
      <c r="AU57" s="18"/>
      <c r="AW57" s="42"/>
      <c r="AX57" s="38"/>
      <c r="AY57" s="38"/>
      <c r="AZ57" s="38"/>
      <c r="BA57" s="38"/>
      <c r="BB57" s="38">
        <f t="shared" si="2"/>
        <v>0</v>
      </c>
      <c r="BC57" s="38"/>
      <c r="BD57" s="38"/>
      <c r="BE57" s="38"/>
      <c r="BF57" s="39"/>
    </row>
    <row r="58" spans="1:58" ht="15.75" thickBot="1" x14ac:dyDescent="0.3">
      <c r="A58" s="19"/>
      <c r="B58" s="468"/>
      <c r="C58" s="469"/>
      <c r="D58" s="470"/>
      <c r="E58" s="21"/>
      <c r="F58" s="21"/>
      <c r="G58" s="21"/>
      <c r="H58" s="21"/>
      <c r="I58" s="21"/>
      <c r="J58" s="21"/>
      <c r="K58" s="21"/>
      <c r="L58" s="21"/>
      <c r="M58" s="21"/>
      <c r="N58" s="21"/>
      <c r="O58" s="11"/>
      <c r="P58" s="471"/>
      <c r="Q58" s="469"/>
      <c r="R58" s="469"/>
      <c r="S58" s="469"/>
      <c r="T58" s="470"/>
      <c r="U58" s="21"/>
      <c r="V58" s="21"/>
      <c r="W58" s="21"/>
      <c r="X58" s="21"/>
      <c r="Y58" s="21"/>
      <c r="Z58" s="21"/>
      <c r="AA58" s="21"/>
      <c r="AB58" s="21"/>
      <c r="AC58" s="21"/>
      <c r="AD58" s="21"/>
      <c r="AE58" s="11"/>
      <c r="AF58" s="468"/>
      <c r="AG58" s="474"/>
      <c r="AH58" s="474"/>
      <c r="AI58" s="474"/>
      <c r="AJ58" s="475"/>
      <c r="AK58" s="93"/>
      <c r="AL58" s="73"/>
      <c r="AM58" s="73"/>
      <c r="AN58" s="73"/>
      <c r="AO58" s="73"/>
      <c r="AP58" s="73"/>
      <c r="AQ58" s="73"/>
      <c r="AR58" s="73"/>
      <c r="AS58" s="73"/>
      <c r="AT58" s="73"/>
      <c r="AU58" s="18"/>
      <c r="AW58" s="42">
        <f>$D58*E58+$T58*U58+$AJ58*AK58</f>
        <v>0</v>
      </c>
      <c r="AX58" s="38">
        <f>$D58*F58+$T58*V58+$AJ58*AL58</f>
        <v>0</v>
      </c>
      <c r="AY58" s="38">
        <f>$D58*G58+$T58*W58+$AJ58*AM58</f>
        <v>0</v>
      </c>
      <c r="AZ58" s="38">
        <f>$D58*H58+$T58*X58+$AJ58*AN58</f>
        <v>0</v>
      </c>
      <c r="BA58" s="38">
        <f>$D58*I58+$T58*Y58+$AJ58*AO58</f>
        <v>0</v>
      </c>
      <c r="BB58" s="38">
        <f t="shared" si="2"/>
        <v>0</v>
      </c>
      <c r="BC58" s="38">
        <f>$D58*K58+$T58*AA58+$AJ58*AQ58</f>
        <v>0</v>
      </c>
      <c r="BD58" s="38">
        <f>$D58*L58+$T58*AB58+$AJ58*AR58</f>
        <v>0</v>
      </c>
      <c r="BE58" s="38">
        <f>$D58*M58+$T58*AC58+$AJ58*AS58</f>
        <v>0</v>
      </c>
      <c r="BF58" s="39">
        <f>$D58*N58+$T58*AD58+$AJ58*AT58</f>
        <v>0</v>
      </c>
    </row>
    <row r="59" spans="1:58" ht="3" customHeight="1" thickBot="1" x14ac:dyDescent="0.3">
      <c r="A59" s="19"/>
      <c r="B59" s="155"/>
      <c r="C59" s="154"/>
      <c r="D59" s="155"/>
      <c r="E59" s="5"/>
      <c r="F59" s="5"/>
      <c r="G59" s="5"/>
      <c r="H59" s="5"/>
      <c r="I59" s="5"/>
      <c r="J59" s="5"/>
      <c r="K59" s="5"/>
      <c r="L59" s="5"/>
      <c r="M59" s="5"/>
      <c r="N59" s="5"/>
      <c r="P59" s="155"/>
      <c r="Q59" s="155"/>
      <c r="R59" s="155"/>
      <c r="S59" s="154"/>
      <c r="T59" s="155"/>
      <c r="U59" s="5"/>
      <c r="V59" s="5"/>
      <c r="W59" s="5"/>
      <c r="X59" s="5"/>
      <c r="Y59" s="5"/>
      <c r="Z59" s="5"/>
      <c r="AA59" s="5"/>
      <c r="AB59" s="5"/>
      <c r="AC59" s="5"/>
      <c r="AD59" s="5"/>
      <c r="AF59" s="157"/>
      <c r="AG59" s="157"/>
      <c r="AH59" s="157"/>
      <c r="AI59" s="157"/>
      <c r="AJ59" s="157"/>
      <c r="AK59" s="5"/>
      <c r="AL59" s="5"/>
      <c r="AM59" s="5"/>
      <c r="AN59" s="5"/>
      <c r="AO59" s="5"/>
      <c r="AP59" s="5"/>
      <c r="AQ59" s="5"/>
      <c r="AR59" s="5"/>
      <c r="AS59" s="5"/>
      <c r="AT59" s="5"/>
      <c r="AU59" s="18"/>
      <c r="AW59" s="42"/>
      <c r="AX59" s="38"/>
      <c r="AY59" s="38"/>
      <c r="AZ59" s="38"/>
      <c r="BA59" s="38"/>
      <c r="BB59" s="38">
        <f t="shared" si="2"/>
        <v>0</v>
      </c>
      <c r="BC59" s="38"/>
      <c r="BD59" s="38"/>
      <c r="BE59" s="38"/>
      <c r="BF59" s="39"/>
    </row>
    <row r="60" spans="1:58" ht="15.75" thickBot="1" x14ac:dyDescent="0.3">
      <c r="A60" s="19"/>
      <c r="B60" s="471"/>
      <c r="C60" s="472"/>
      <c r="D60" s="473"/>
      <c r="E60" s="21"/>
      <c r="F60" s="21"/>
      <c r="G60" s="21"/>
      <c r="H60" s="21"/>
      <c r="I60" s="21"/>
      <c r="J60" s="21"/>
      <c r="K60" s="21"/>
      <c r="L60" s="21"/>
      <c r="M60" s="21"/>
      <c r="N60" s="21"/>
      <c r="O60" s="11"/>
      <c r="P60" s="468"/>
      <c r="Q60" s="472"/>
      <c r="R60" s="472"/>
      <c r="S60" s="472"/>
      <c r="T60" s="473"/>
      <c r="U60" s="21"/>
      <c r="V60" s="21"/>
      <c r="W60" s="21"/>
      <c r="X60" s="21"/>
      <c r="Y60" s="21"/>
      <c r="Z60" s="21"/>
      <c r="AA60" s="21"/>
      <c r="AB60" s="21"/>
      <c r="AC60" s="21"/>
      <c r="AD60" s="21"/>
      <c r="AE60" s="11"/>
      <c r="AF60" s="468"/>
      <c r="AG60" s="474"/>
      <c r="AH60" s="474"/>
      <c r="AI60" s="474"/>
      <c r="AJ60" s="475"/>
      <c r="AK60" s="93"/>
      <c r="AL60" s="73"/>
      <c r="AM60" s="73"/>
      <c r="AN60" s="73"/>
      <c r="AO60" s="73"/>
      <c r="AP60" s="73"/>
      <c r="AQ60" s="73"/>
      <c r="AR60" s="73"/>
      <c r="AS60" s="73"/>
      <c r="AT60" s="73"/>
      <c r="AU60" s="18"/>
      <c r="AW60" s="42">
        <f>$D60*E60+$T60*U60+$AJ60*AK60</f>
        <v>0</v>
      </c>
      <c r="AX60" s="38">
        <f>$D60*F60+$T60*V60+$AJ60*AL60</f>
        <v>0</v>
      </c>
      <c r="AY60" s="38">
        <f>$D60*G60+$T60*W60+$AJ60*AM60</f>
        <v>0</v>
      </c>
      <c r="AZ60" s="38">
        <f>$D60*H60+$T60*X60+$AJ60*AN60</f>
        <v>0</v>
      </c>
      <c r="BA60" s="38">
        <f>$D60*I60+$T60*Y60+$AJ60*AO60</f>
        <v>0</v>
      </c>
      <c r="BB60" s="38">
        <f t="shared" si="2"/>
        <v>0</v>
      </c>
      <c r="BC60" s="38">
        <f>$D60*K60+$T60*AA60+$AJ60*AQ60</f>
        <v>0</v>
      </c>
      <c r="BD60" s="38">
        <f>$D60*L60+$T60*AB60+$AJ60*AR60</f>
        <v>0</v>
      </c>
      <c r="BE60" s="38">
        <f>$D60*M60+$T60*AC60+$AJ60*AS60</f>
        <v>0</v>
      </c>
      <c r="BF60" s="39">
        <f>$D60*N60+$T60*AD60+$AJ60*AT60</f>
        <v>0</v>
      </c>
    </row>
    <row r="61" spans="1:58" ht="3" customHeight="1" thickBot="1" x14ac:dyDescent="0.3">
      <c r="A61" s="19"/>
      <c r="B61" s="154"/>
      <c r="C61" s="154"/>
      <c r="D61" s="154"/>
      <c r="E61" s="11"/>
      <c r="F61" s="11"/>
      <c r="G61" s="11"/>
      <c r="H61" s="11"/>
      <c r="I61" s="11"/>
      <c r="J61" s="11"/>
      <c r="K61" s="11"/>
      <c r="L61" s="11"/>
      <c r="M61" s="11"/>
      <c r="N61" s="11"/>
      <c r="O61" s="11"/>
      <c r="P61" s="154"/>
      <c r="Q61" s="154"/>
      <c r="R61" s="154"/>
      <c r="S61" s="154"/>
      <c r="T61" s="154"/>
      <c r="U61" s="11"/>
      <c r="V61" s="11"/>
      <c r="W61" s="11"/>
      <c r="X61" s="11"/>
      <c r="Y61" s="11"/>
      <c r="Z61" s="11"/>
      <c r="AA61" s="11"/>
      <c r="AB61" s="11"/>
      <c r="AC61" s="11"/>
      <c r="AD61" s="11"/>
      <c r="AE61" s="11"/>
      <c r="AF61" s="156"/>
      <c r="AG61" s="156"/>
      <c r="AH61" s="156"/>
      <c r="AI61" s="156"/>
      <c r="AJ61" s="156"/>
      <c r="AK61" s="5"/>
      <c r="AL61" s="5"/>
      <c r="AM61" s="5"/>
      <c r="AN61" s="5"/>
      <c r="AO61" s="5"/>
      <c r="AP61" s="5"/>
      <c r="AQ61" s="5"/>
      <c r="AR61" s="5"/>
      <c r="AS61" s="5"/>
      <c r="AT61" s="5"/>
      <c r="AU61" s="18"/>
      <c r="AW61" s="42"/>
      <c r="AX61" s="38"/>
      <c r="AY61" s="38"/>
      <c r="AZ61" s="38"/>
      <c r="BA61" s="38"/>
      <c r="BB61" s="38">
        <f t="shared" si="2"/>
        <v>0</v>
      </c>
      <c r="BC61" s="38"/>
      <c r="BD61" s="38"/>
      <c r="BE61" s="38"/>
      <c r="BF61" s="39"/>
    </row>
    <row r="62" spans="1:58" ht="15.75" customHeight="1" thickBot="1" x14ac:dyDescent="0.3">
      <c r="A62" s="19"/>
      <c r="B62" s="471"/>
      <c r="C62" s="472"/>
      <c r="D62" s="473"/>
      <c r="E62" s="21"/>
      <c r="F62" s="21"/>
      <c r="G62" s="21"/>
      <c r="H62" s="21"/>
      <c r="I62" s="21"/>
      <c r="J62" s="21"/>
      <c r="K62" s="21"/>
      <c r="L62" s="21"/>
      <c r="M62" s="21"/>
      <c r="N62" s="21"/>
      <c r="O62" s="11"/>
      <c r="P62" s="471"/>
      <c r="Q62" s="472"/>
      <c r="R62" s="472"/>
      <c r="S62" s="472"/>
      <c r="T62" s="473"/>
      <c r="U62" s="21"/>
      <c r="V62" s="21"/>
      <c r="W62" s="21"/>
      <c r="X62" s="21"/>
      <c r="Y62" s="21"/>
      <c r="Z62" s="21"/>
      <c r="AA62" s="21"/>
      <c r="AB62" s="21"/>
      <c r="AC62" s="21"/>
      <c r="AD62" s="21"/>
      <c r="AE62" s="11"/>
      <c r="AF62" s="468"/>
      <c r="AG62" s="474"/>
      <c r="AH62" s="474"/>
      <c r="AI62" s="474"/>
      <c r="AJ62" s="475"/>
      <c r="AK62" s="93"/>
      <c r="AL62" s="73"/>
      <c r="AM62" s="73"/>
      <c r="AN62" s="73"/>
      <c r="AO62" s="73"/>
      <c r="AP62" s="73"/>
      <c r="AQ62" s="73"/>
      <c r="AR62" s="73"/>
      <c r="AS62" s="73"/>
      <c r="AT62" s="73"/>
      <c r="AU62" s="18"/>
      <c r="AW62" s="42">
        <f>$D62*E62+$T62*U62+$AJ62*AK62</f>
        <v>0</v>
      </c>
      <c r="AX62" s="38">
        <f>$D62*F62+$T62*V62+$AJ62*AL62</f>
        <v>0</v>
      </c>
      <c r="AY62" s="38">
        <f>$D62*G62+$T62*W62+$AJ62*AM62</f>
        <v>0</v>
      </c>
      <c r="AZ62" s="38">
        <f>$D62*H62+$T62*X62+$AJ62*AN62</f>
        <v>0</v>
      </c>
      <c r="BA62" s="38">
        <f>$D62*I62+$T62*Y62+$AJ62*AO62</f>
        <v>0</v>
      </c>
      <c r="BB62" s="38">
        <f t="shared" si="2"/>
        <v>0</v>
      </c>
      <c r="BC62" s="38">
        <f>$D62*K62+$T62*AA62+$AJ62*AQ62</f>
        <v>0</v>
      </c>
      <c r="BD62" s="38">
        <f>$D62*L62+$T62*AB62+$AJ62*AR62</f>
        <v>0</v>
      </c>
      <c r="BE62" s="38">
        <f>$D62*M62+$T62*AC62+$AJ62*AS62</f>
        <v>0</v>
      </c>
      <c r="BF62" s="39">
        <f>$D62*N62+$T62*AD62+$AJ62*AT62</f>
        <v>0</v>
      </c>
    </row>
    <row r="63" spans="1:58" ht="3" customHeight="1" thickBot="1" x14ac:dyDescent="0.3">
      <c r="A63" s="19"/>
      <c r="B63" s="154"/>
      <c r="C63" s="154"/>
      <c r="D63" s="154"/>
      <c r="E63" s="11"/>
      <c r="F63" s="11"/>
      <c r="G63" s="11"/>
      <c r="H63" s="11"/>
      <c r="I63" s="11"/>
      <c r="J63" s="11"/>
      <c r="K63" s="11"/>
      <c r="L63" s="11"/>
      <c r="M63" s="11"/>
      <c r="N63" s="11"/>
      <c r="O63" s="11"/>
      <c r="P63" s="154"/>
      <c r="Q63" s="154"/>
      <c r="R63" s="154"/>
      <c r="S63" s="154"/>
      <c r="T63" s="154"/>
      <c r="U63" s="11"/>
      <c r="V63" s="11"/>
      <c r="W63" s="11"/>
      <c r="X63" s="11"/>
      <c r="Y63" s="11"/>
      <c r="Z63" s="11"/>
      <c r="AA63" s="11"/>
      <c r="AB63" s="11"/>
      <c r="AC63" s="11"/>
      <c r="AD63" s="11"/>
      <c r="AE63" s="11"/>
      <c r="AF63" s="156"/>
      <c r="AG63" s="156"/>
      <c r="AH63" s="156"/>
      <c r="AI63" s="156"/>
      <c r="AJ63" s="156"/>
      <c r="AK63" s="5"/>
      <c r="AL63" s="5"/>
      <c r="AM63" s="5"/>
      <c r="AN63" s="5"/>
      <c r="AO63" s="5"/>
      <c r="AP63" s="5"/>
      <c r="AQ63" s="5"/>
      <c r="AR63" s="5"/>
      <c r="AS63" s="5"/>
      <c r="AT63" s="5"/>
      <c r="AU63" s="18"/>
      <c r="AW63" s="42"/>
      <c r="AX63" s="38"/>
      <c r="AY63" s="38"/>
      <c r="AZ63" s="38"/>
      <c r="BA63" s="38"/>
      <c r="BB63" s="38">
        <f t="shared" si="2"/>
        <v>0</v>
      </c>
      <c r="BC63" s="38"/>
      <c r="BD63" s="38"/>
      <c r="BE63" s="38"/>
      <c r="BF63" s="39"/>
    </row>
    <row r="64" spans="1:58" ht="15.75" thickBot="1" x14ac:dyDescent="0.3">
      <c r="A64" s="19"/>
      <c r="B64" s="471"/>
      <c r="C64" s="472"/>
      <c r="D64" s="473"/>
      <c r="E64" s="21"/>
      <c r="F64" s="21"/>
      <c r="G64" s="21"/>
      <c r="H64" s="21"/>
      <c r="I64" s="21"/>
      <c r="J64" s="21"/>
      <c r="K64" s="21"/>
      <c r="L64" s="21"/>
      <c r="M64" s="21"/>
      <c r="N64" s="21"/>
      <c r="O64" s="11"/>
      <c r="P64" s="471"/>
      <c r="Q64" s="472"/>
      <c r="R64" s="472"/>
      <c r="S64" s="472"/>
      <c r="T64" s="473"/>
      <c r="U64" s="21"/>
      <c r="V64" s="21"/>
      <c r="W64" s="21"/>
      <c r="X64" s="21"/>
      <c r="Y64" s="21"/>
      <c r="Z64" s="21"/>
      <c r="AA64" s="21"/>
      <c r="AB64" s="21"/>
      <c r="AC64" s="21"/>
      <c r="AD64" s="21"/>
      <c r="AE64" s="11"/>
      <c r="AF64" s="468"/>
      <c r="AG64" s="474"/>
      <c r="AH64" s="474"/>
      <c r="AI64" s="474"/>
      <c r="AJ64" s="475"/>
      <c r="AK64" s="93"/>
      <c r="AL64" s="73"/>
      <c r="AM64" s="73"/>
      <c r="AN64" s="73"/>
      <c r="AO64" s="73"/>
      <c r="AP64" s="73"/>
      <c r="AQ64" s="73"/>
      <c r="AR64" s="73"/>
      <c r="AS64" s="73"/>
      <c r="AT64" s="73"/>
      <c r="AU64" s="18"/>
      <c r="AW64" s="42">
        <f>$D64*E64+$T64*U64+$AJ64*AK64</f>
        <v>0</v>
      </c>
      <c r="AX64" s="38">
        <f>$D64*F64+$T64*V64+$AJ64*AL64</f>
        <v>0</v>
      </c>
      <c r="AY64" s="38">
        <f>$D64*G64+$T64*W64+$AJ64*AM64</f>
        <v>0</v>
      </c>
      <c r="AZ64" s="38">
        <f>$D64*H64+$T64*X64+$AJ64*AN64</f>
        <v>0</v>
      </c>
      <c r="BA64" s="38">
        <f>$D64*I64+$T64*Y64+$AJ64*AO64</f>
        <v>0</v>
      </c>
      <c r="BB64" s="38">
        <f t="shared" si="2"/>
        <v>0</v>
      </c>
      <c r="BC64" s="38">
        <f>$D64*K64+$T64*AA64+$AJ64*AQ64</f>
        <v>0</v>
      </c>
      <c r="BD64" s="38">
        <f>$D64*L64+$T64*AB64+$AJ64*AR64</f>
        <v>0</v>
      </c>
      <c r="BE64" s="38">
        <f>$D64*M64+$T64*AC64+$AJ64*AS64</f>
        <v>0</v>
      </c>
      <c r="BF64" s="39">
        <f>$D64*N64+$T64*AD64+$AJ64*AT64</f>
        <v>0</v>
      </c>
    </row>
    <row r="65" spans="1:58" ht="3" customHeight="1" x14ac:dyDescent="0.25">
      <c r="A65" s="19"/>
      <c r="B65" s="5"/>
      <c r="D65" s="5"/>
      <c r="E65" s="5"/>
      <c r="F65" s="5"/>
      <c r="G65" s="5"/>
      <c r="H65" s="5"/>
      <c r="I65" s="5"/>
      <c r="J65" s="5"/>
      <c r="K65" s="5"/>
      <c r="L65" s="5"/>
      <c r="M65" s="5"/>
      <c r="N65" s="5"/>
      <c r="R65" s="5"/>
      <c r="T65" s="5"/>
      <c r="U65" s="5"/>
      <c r="V65" s="5"/>
      <c r="W65" s="5"/>
      <c r="X65" s="5"/>
      <c r="Y65" s="5"/>
      <c r="Z65" s="5"/>
      <c r="AA65" s="5"/>
      <c r="AB65" s="5"/>
      <c r="AC65" s="5"/>
      <c r="AD65" s="5"/>
      <c r="AH65" s="5"/>
      <c r="AI65" s="5"/>
      <c r="AJ65" s="5"/>
      <c r="AK65" s="5"/>
      <c r="AL65" s="5"/>
      <c r="AM65" s="5"/>
      <c r="AN65" s="5"/>
      <c r="AO65" s="5"/>
      <c r="AP65" s="5"/>
      <c r="AQ65" s="5"/>
      <c r="AR65" s="5"/>
      <c r="AS65" s="5"/>
      <c r="AT65" s="5"/>
      <c r="AU65" s="18"/>
      <c r="AW65" s="42"/>
      <c r="AX65" s="38"/>
      <c r="AY65" s="38"/>
      <c r="AZ65" s="38"/>
      <c r="BA65" s="38"/>
      <c r="BB65" s="38">
        <f t="shared" si="2"/>
        <v>0</v>
      </c>
      <c r="BC65" s="38"/>
      <c r="BD65" s="38"/>
      <c r="BE65" s="38"/>
      <c r="BF65" s="39"/>
    </row>
    <row r="66" spans="1:58" ht="15.75" thickBot="1" x14ac:dyDescent="0.3">
      <c r="A66" s="19"/>
      <c r="B66" s="359" t="s">
        <v>104</v>
      </c>
      <c r="C66" s="417"/>
      <c r="D66" s="417"/>
      <c r="E66" s="417"/>
      <c r="F66" s="417"/>
      <c r="G66" s="417"/>
      <c r="H66" s="417"/>
      <c r="I66" s="417"/>
      <c r="J66" s="417"/>
      <c r="K66" s="417"/>
      <c r="L66" s="417"/>
      <c r="M66" s="417"/>
      <c r="N66" s="417"/>
      <c r="O66" s="405"/>
      <c r="P66" s="405"/>
      <c r="Q66" s="405"/>
      <c r="R66" s="405"/>
      <c r="S66" s="405"/>
      <c r="T66" s="405"/>
      <c r="U66" s="405"/>
      <c r="V66" s="405"/>
      <c r="W66" s="405"/>
      <c r="X66" s="405"/>
      <c r="Y66" s="405"/>
      <c r="Z66" s="405"/>
      <c r="AA66" s="405"/>
      <c r="AB66" s="405"/>
      <c r="AC66" s="405"/>
      <c r="AD66" s="405"/>
      <c r="AE66" s="405"/>
      <c r="AF66" s="405"/>
      <c r="AG66" s="405"/>
      <c r="AH66" s="405"/>
      <c r="AI66" s="405"/>
      <c r="AJ66" s="405"/>
      <c r="AK66" s="338"/>
      <c r="AL66" s="338"/>
      <c r="AM66" s="338"/>
      <c r="AN66" s="338"/>
      <c r="AO66" s="338"/>
      <c r="AP66" s="338"/>
      <c r="AQ66" s="338"/>
      <c r="AR66" s="338"/>
      <c r="AS66" s="338"/>
      <c r="AT66" s="338"/>
      <c r="AU66" s="18"/>
      <c r="AW66" s="43">
        <f>SUM(AW10:AW49)</f>
        <v>0</v>
      </c>
      <c r="AX66" s="40">
        <f t="shared" ref="AX66:BF66" si="3">SUM(AX10:AX48)</f>
        <v>0</v>
      </c>
      <c r="AY66" s="40">
        <f t="shared" si="3"/>
        <v>0</v>
      </c>
      <c r="AZ66" s="40">
        <f t="shared" si="3"/>
        <v>0</v>
      </c>
      <c r="BA66" s="40">
        <f t="shared" si="3"/>
        <v>0</v>
      </c>
      <c r="BB66" s="40">
        <f t="shared" si="3"/>
        <v>0</v>
      </c>
      <c r="BC66" s="40">
        <f t="shared" si="3"/>
        <v>0</v>
      </c>
      <c r="BD66" s="40">
        <f t="shared" si="3"/>
        <v>0</v>
      </c>
      <c r="BE66" s="40">
        <f t="shared" si="3"/>
        <v>0</v>
      </c>
      <c r="BF66" s="41">
        <f t="shared" si="3"/>
        <v>0</v>
      </c>
    </row>
    <row r="67" spans="1:58" ht="3" customHeight="1" thickBot="1" x14ac:dyDescent="0.3">
      <c r="A67" s="19"/>
      <c r="B67" s="5"/>
      <c r="D67" s="5"/>
      <c r="E67" s="5"/>
      <c r="F67" s="5"/>
      <c r="G67" s="5"/>
      <c r="H67" s="5"/>
      <c r="I67" s="5"/>
      <c r="J67" s="5"/>
      <c r="K67" s="5"/>
      <c r="L67" s="5"/>
      <c r="M67" s="5"/>
      <c r="N67" s="5"/>
      <c r="R67" s="5"/>
      <c r="T67" s="5"/>
      <c r="U67" s="5"/>
      <c r="V67" s="5"/>
      <c r="W67" s="5"/>
      <c r="X67" s="5"/>
      <c r="Y67" s="5"/>
      <c r="Z67" s="5"/>
      <c r="AA67" s="5"/>
      <c r="AB67" s="5"/>
      <c r="AC67" s="5"/>
      <c r="AD67" s="5"/>
      <c r="AH67" s="5"/>
      <c r="AI67" s="5"/>
      <c r="AJ67" s="5"/>
      <c r="AK67" s="5"/>
      <c r="AL67" s="5"/>
      <c r="AM67" s="5"/>
      <c r="AN67" s="5"/>
      <c r="AO67" s="5"/>
      <c r="AP67" s="5"/>
      <c r="AQ67" s="5"/>
      <c r="AR67" s="5"/>
      <c r="AS67" s="5"/>
      <c r="AT67" s="5"/>
      <c r="AU67" s="18"/>
    </row>
    <row r="68" spans="1:58" x14ac:dyDescent="0.25">
      <c r="A68" s="19"/>
      <c r="B68" s="459"/>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1"/>
      <c r="AK68" s="82"/>
      <c r="AL68" s="82"/>
      <c r="AM68" s="82"/>
      <c r="AN68" s="82"/>
      <c r="AO68" s="82"/>
      <c r="AP68" s="82"/>
      <c r="AQ68" s="82"/>
      <c r="AR68" s="82"/>
      <c r="AS68" s="82"/>
      <c r="AT68" s="82"/>
      <c r="AU68" s="18"/>
    </row>
    <row r="69" spans="1:58" x14ac:dyDescent="0.25">
      <c r="A69" s="19"/>
      <c r="B69" s="462"/>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4"/>
      <c r="AK69" s="82"/>
      <c r="AL69" s="82"/>
      <c r="AM69" s="82"/>
      <c r="AN69" s="82"/>
      <c r="AO69" s="82"/>
      <c r="AP69" s="82"/>
      <c r="AQ69" s="82"/>
      <c r="AR69" s="82"/>
      <c r="AS69" s="82"/>
      <c r="AT69" s="82"/>
      <c r="AU69" s="18"/>
    </row>
    <row r="70" spans="1:58" x14ac:dyDescent="0.25">
      <c r="A70" s="19"/>
      <c r="B70" s="462"/>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4"/>
      <c r="AK70" s="82"/>
      <c r="AL70" s="82"/>
      <c r="AM70" s="82"/>
      <c r="AN70" s="82"/>
      <c r="AO70" s="82"/>
      <c r="AP70" s="82"/>
      <c r="AQ70" s="82"/>
      <c r="AR70" s="82"/>
      <c r="AS70" s="82"/>
      <c r="AT70" s="82"/>
      <c r="AU70" s="18"/>
    </row>
    <row r="71" spans="1:58" ht="15.75" thickBot="1" x14ac:dyDescent="0.3">
      <c r="A71" s="19"/>
      <c r="B71" s="465"/>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7"/>
      <c r="AK71" s="82"/>
      <c r="AL71" s="82"/>
      <c r="AM71" s="82"/>
      <c r="AN71" s="82"/>
      <c r="AO71" s="82"/>
      <c r="AP71" s="82"/>
      <c r="AQ71" s="82"/>
      <c r="AR71" s="82"/>
      <c r="AS71" s="82"/>
      <c r="AT71" s="82"/>
      <c r="AU71" s="18"/>
    </row>
    <row r="72" spans="1:58" ht="3" customHeight="1" thickBot="1" x14ac:dyDescent="0.3">
      <c r="A72" s="34"/>
      <c r="B72" s="4"/>
      <c r="C72" s="28"/>
      <c r="D72" s="4"/>
      <c r="E72" s="4"/>
      <c r="F72" s="4"/>
      <c r="G72" s="4"/>
      <c r="H72" s="4"/>
      <c r="I72" s="4"/>
      <c r="J72" s="4"/>
      <c r="K72" s="4"/>
      <c r="L72" s="4"/>
      <c r="M72" s="4"/>
      <c r="N72" s="4"/>
      <c r="O72" s="4"/>
      <c r="P72" s="4"/>
      <c r="Q72" s="4"/>
      <c r="R72" s="4"/>
      <c r="S72" s="2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29"/>
    </row>
    <row r="73" spans="1:58" x14ac:dyDescent="0.25">
      <c r="B73" s="5"/>
      <c r="C73"/>
      <c r="O73"/>
      <c r="P73"/>
      <c r="Q73"/>
      <c r="S73"/>
      <c r="AE73"/>
      <c r="AF73"/>
      <c r="AG73"/>
    </row>
  </sheetData>
  <sheetProtection sheet="1" objects="1" scenarios="1" selectLockedCells="1"/>
  <mergeCells count="46">
    <mergeCell ref="AF14:AH14"/>
    <mergeCell ref="D2:T2"/>
    <mergeCell ref="AF2:AH2"/>
    <mergeCell ref="P4:R4"/>
    <mergeCell ref="AF4:AH4"/>
    <mergeCell ref="P6:R6"/>
    <mergeCell ref="AF6:AH6"/>
    <mergeCell ref="P12:R12"/>
    <mergeCell ref="AF12:AH12"/>
    <mergeCell ref="B8:AJ8"/>
    <mergeCell ref="P10:R10"/>
    <mergeCell ref="AF10:AH10"/>
    <mergeCell ref="P48:R48"/>
    <mergeCell ref="AF48:AH48"/>
    <mergeCell ref="B50:AJ50"/>
    <mergeCell ref="AF16:AH16"/>
    <mergeCell ref="P26:R26"/>
    <mergeCell ref="B40:AJ40"/>
    <mergeCell ref="P42:R42"/>
    <mergeCell ref="AF42:AH42"/>
    <mergeCell ref="P44:R44"/>
    <mergeCell ref="AF44:AH44"/>
    <mergeCell ref="P46:R46"/>
    <mergeCell ref="AF46:AH46"/>
    <mergeCell ref="B56:D56"/>
    <mergeCell ref="P56:T56"/>
    <mergeCell ref="AF56:AJ56"/>
    <mergeCell ref="B58:D58"/>
    <mergeCell ref="P58:T58"/>
    <mergeCell ref="AF58:AJ58"/>
    <mergeCell ref="B54:D54"/>
    <mergeCell ref="P54:T54"/>
    <mergeCell ref="AF54:AJ54"/>
    <mergeCell ref="P52:R52"/>
    <mergeCell ref="AF52:AH52"/>
    <mergeCell ref="B60:D60"/>
    <mergeCell ref="P60:T60"/>
    <mergeCell ref="AF60:AJ60"/>
    <mergeCell ref="B62:D62"/>
    <mergeCell ref="P62:T62"/>
    <mergeCell ref="AF62:AJ62"/>
    <mergeCell ref="B64:D64"/>
    <mergeCell ref="P64:T64"/>
    <mergeCell ref="AF64:AJ64"/>
    <mergeCell ref="B66:AJ66"/>
    <mergeCell ref="B68:AJ71"/>
  </mergeCells>
  <dataValidations count="56">
    <dataValidation allowBlank="1" showInputMessage="1" showErrorMessage="1" promptTitle="Jail (14 BP)" prompt="A fortified structure for housing criminals._x000a__x000a_Loyalty +2, Stability +2; Unrest –2." sqref="T20"/>
    <dataValidation allowBlank="1" showInputMessage="1" showErrorMessage="1" promptTitle="Granary (12 BP):" prompt="A place to store grain and food. _x000a__x000a_Loyalty +1, Stability +1." sqref="D38"/>
    <dataValidation allowBlank="1" showInputMessage="1" showErrorMessage="1" promptTitle="Dump (4 BP)" prompt="A centralized place to dispose of refuse._x000a__x000a_Loyalty +1, Stability +1." sqref="D32"/>
    <dataValidation allowBlank="1" showInputMessage="1" showErrorMessage="1" promptTitle="Brewery (6 BP)" prompt="A building for beermaking, winemaking, or similar use._x000a__x000a_ Loyalty +1, Stability +1." sqref="D20"/>
    <dataValidation allowBlank="1" showInputMessage="1" showErrorMessage="1" promptTitle="Watchtower (12 BP)" prompt="A tall structure that serves as a guard post and landmark. _x000a__x000a_+1 Stability; +2 Defense Modifier; Unrest –1." sqref="AJ34"/>
    <dataValidation allowBlank="1" showInputMessage="1" showErrorMessage="1" promptTitle="Town Hall (22 BP)" prompt="A public venue for town meetings and repository for town records. _x000a__x000a_Halves cost of Barracks,Dump, and Watchtower in same city; _x000a__x000a_Economy +1, Loyalty +1,Stability +1." sqref="AJ30"/>
    <dataValidation allowBlank="1" showInputMessage="1" showErrorMessage="1" promptTitle="Theater (24 BP)" prompt="A venue for providing entertainment such as plays, operas, concerts, and the like. _x000a__x000a_Halves cost of Brothel, Park, and Tavern in same city; _x000a__x000a_Economy +2, Stability +2." sqref="AJ28"/>
    <dataValidation allowBlank="1" showInputMessage="1" showErrorMessage="1" promptTitle="Monastery (6 BP)" prompt="A place for monks to gather, train and worship._x000a__x000a_Loyalty +1, Stability +1" sqref="T48"/>
    <dataValidation allowBlank="1" showInputMessage="1" showErrorMessage="1" promptTitle="Carpenter (30 BP)" prompt="[Limit of one per city and adjacent to mill]_x000a__x000a_A buidling for construction of wooden objects, timber frames._x000a__x000a_Reduces cost of all buildings by 1 BP;_x000a__x000a_Economy +2" sqref="T42"/>
    <dataValidation allowBlank="1" showInputMessage="1" showErrorMessage="1" promptTitle="Baker (6 BP)" prompt="A building for baking bread and other food stuffs, to keep the populace fed and happy._x000a__x000a_Economy +1, Stability +1." sqref="D46"/>
    <dataValidation allowBlank="1" showInputMessage="1" showErrorMessage="1" promptTitle="Tradesman (10 BP)" prompt="[Must be adjacent to one house]_x000a__x000a_A shopfront for a tradesman, such as a baker, butcher, candle maker, cooper, or rope maker. _x000a__x000a_City base value +500 gp; _x000a__x000a_+1 Economy, +1 Stability." sqref="AJ32"/>
    <dataValidation allowBlank="1" showInputMessage="1" showErrorMessage="1" promptTitle="Mill (6 BP)" prompt="[Must be adjacent to water border]_x000a__x000a_A building used to cut lumber or grind grain. _x000a__x000a_Economy +1, Stability +1." sqref="T32"/>
    <dataValidation allowBlank="1" showInputMessage="1" showErrorMessage="1" promptTitle="Market (48 BP)" prompt="[Must be adjacent to two houses]_x000a__x000a_An open area for mercantile pursuits, traveling merchants, and bargain hunters. _x000a__x000a_City base value +2,000 gp; 2 minor items;_x000a__x000a_halves cost of Black Market, Inn, and Shop in same city;  _x000a__x000a_Economy +2, Stability +2." sqref="T30"/>
    <dataValidation allowBlank="1" showInputMessage="1" showErrorMessage="1" promptTitle="Exotic Craftsman (10 BP)" prompt="[Must be adjacent to one house]_x000a__x000a_The workshop and home of an exotic craftsman, such as a creator of magic items, a tinker, a fireworks maker, or a glassblower. _x000a__x000a_1 minor item; _x000a__x000a_Economy +1, Stability +1." sqref="D34"/>
    <dataValidation allowBlank="1" showInputMessage="1" showErrorMessage="1" promptTitle="City Wall (8 BP)" prompt="City walls do not occupy a city block— rather, purchasing a city wall fortifies one of a district’sfour outer borders._x000a__x000a_A city wall cannot be built on a water border. _x000a__x000a_Defense Modifier +4; Unrest –2." sqref="D30"/>
    <dataValidation type="whole" allowBlank="1" showInputMessage="1" showErrorMessage="1" errorTitle="Cathedral" error="Only one Cathedral per City can be build" promptTitle="Aviary (6 BP)" prompt="[Not adjacent to a house]_x000a__x000a_A beekeeper field to make honey and pollinate the local farms._x000a__x000a_Economy +1, Loyalty +1" sqref="D42">
      <formula1>0</formula1>
      <formula2>1</formula2>
    </dataValidation>
    <dataValidation type="whole" allowBlank="1" showInputMessage="1" showErrorMessage="1" errorTitle="Waterfront" error="Only one Waterfront per City can be build" promptTitle="Waterfront (90 BP)" prompt="[Adjacent to water]_x000a__x000a_A port for arrival and departure when traveling by water and center of commerce. _x000a__x000a_City base value +4,000 gp; 3 minor, 2 medium, 1 major_x000a_item; _x000a__x000a_Halves cost of Guildhall and Market, halves Loyalty pen. for tax edicts_x000a__x000a_Economy +4_x000a__x000a__x000a_" sqref="AJ36">
      <formula1>0</formula1>
      <formula2>1</formula2>
    </dataValidation>
    <dataValidation allowBlank="1" showInputMessage="1" showErrorMessage="1" promptTitle="Witches Hut (20 BP)" prompt="The home and brewery for a witch._x000a__x000a_2 minor items, 1 medium item._x000a__x000a_Economy +1, Unrest +1" sqref="AJ46"/>
    <dataValidation allowBlank="1" showInputMessage="1" showErrorMessage="1" promptTitle="Weaver (6 BP)" prompt="A building for weaving fabric and making clothes._x000a__x000a_Economy +1, Stability +1" sqref="AJ44"/>
    <dataValidation allowBlank="1" showInputMessage="1" showErrorMessage="1" promptTitle="Office of the Watch (8 BP)" prompt="The local office of the Wardne and headquarters of the city guard._x000a__x000a_Loyalty +1, Stability +1, Unrest -1" sqref="AJ42"/>
    <dataValidation allowBlank="1" showInputMessage="1" showErrorMessage="1" promptTitle="Tenement (1 BP)" prompt="A staggering number of low-rent, cheap housing units. Tenements count as houses for the purpose of fulfilling building requirements. _x000a_You can build a house over an existing tenement for 2 BP. _x000a__x000a_Unrest +2." sqref="AJ26"/>
    <dataValidation allowBlank="1" showInputMessage="1" showErrorMessage="1" promptTitle="Temple (32 BP)" prompt="A large place of worship dedicated to a deity. _x000a__x000a_Halves cost of Graveyard, Monument, and Shrine in same city; _x000a__x000a_2 minor items; _x000a__x000a_Loyalty +2, Stability +2; Unrest –2." sqref="AJ24"/>
    <dataValidation allowBlank="1" showInputMessage="1" showErrorMessage="1" promptTitle="Tavern (12 BP)" prompt="[Must be adjacent to one house]_x000a__x000a_An eatery or drinking establishment. _x000a__x000a_City base value +500 gp; _x000a__x000a_Economy +1, Loyalty +1." sqref="AJ22"/>
    <dataValidation allowBlank="1" showInputMessage="1" showErrorMessage="1" promptTitle="Tannery (6 BP)" prompt="[Not adjacent to a house]_x000a__x000a_A structure that prepares hides and leather. _x000a__x000a_Economy +1, Stability +1." sqref="AJ20"/>
    <dataValidation allowBlank="1" showInputMessage="1" showErrorMessage="1" promptTitle="Stable (10 BP)" prompt="[Must be adjacent to one house]_x000a__x000a_A structure for housing or selling horses and other mounts. _x000a__x000a_City base value +500 gp; _x000a__x000a_Economy +1, Loyalty +1." sqref="AJ18"/>
    <dataValidation allowBlank="1" showInputMessage="1" showErrorMessage="1" promptTitle="Smith (6 BP)" prompt="An armor smith, blacksmith, or weapon smith. _x000a__x000a_Economy +1, Stability +1." sqref="AJ16"/>
    <dataValidation allowBlank="1" showInputMessage="1" showErrorMessage="1" promptTitle="Shrine (8 BP)" prompt="A small shrine or similar holy site. _x000a__x000a_1 minor item; _x000a__x000a_Loyalty +1; Unrest –1." sqref="AJ14"/>
    <dataValidation allowBlank="1" showInputMessage="1" showErrorMessage="1" promptTitle="Shop (8 BP)" prompt="[Must be adjacent to one house]_x000a__x000a_A general store. _x000a__x000a_City base value +500 gp; _x000a__x000a_Economy +1." sqref="AJ12"/>
    <dataValidation allowBlank="1" showInputMessage="1" showErrorMessage="1" promptTitle="Piers (16 BP)" prompt="[Must be adjacent to water border]_x000a__x000a_Warehouses and workshops for docking ships and handling cargo and passengers. _x000a__x000a_City base value +1,000 gp; _x000a__x000a_+1 Economy, +1 Stability." sqref="AJ10"/>
    <dataValidation allowBlank="1" showInputMessage="1" showErrorMessage="1" promptTitle="Park (4 BP)" prompt="A plot of land set aside for its natural beauty._x000a__x000a_Loyalty +1; Unrest –1." sqref="T38"/>
    <dataValidation allowBlank="1" showInputMessage="1" showErrorMessage="1" promptTitle="Noble Villa (24 BP)" prompt="A sprawling manor with luxurious grounds that houses a noble. _x000a__x000a_Halves cost of Exotic Craftsman,Luxury Store, and Mansion in same city; _x000a__x000a_Economy +1, Loyalty +1, Stability +1." sqref="T36"/>
    <dataValidation allowBlank="1" showInputMessage="1" showErrorMessage="1" promptTitle="Monument (6 BP)" prompt="A monument can be a statue of a city founder, a bell tower, a large tomb, or a public display ofart. _x000a__x000a_Loyalty +3; Unrest –1." sqref="T34"/>
    <dataValidation allowBlank="1" showInputMessage="1" showErrorMessage="1" promptTitle="Keep (30 BP)" prompt="[Limit of one per city district]_x000a__x000a_A fallback place for defense._x000a__x000a_Loyalty +1, Stability +1, Defense +2" sqref="T46"/>
    <dataValidation allowBlank="1" showInputMessage="1" showErrorMessage="1" promptTitle="Fletcher (9 BP)" prompt="An arrow maker and archery repair shop supporting the cities defense._x000a__x000a_Economy +1, Stability +1, Defense +1" sqref="T44"/>
    <dataValidation allowBlank="1" showInputMessage="1" showErrorMessage="1" promptTitle="Mansion (10 BP)" prompt="A single huge manor housing a rich family and its servants. _x000a__x000a_Stability +1." sqref="T28"/>
    <dataValidation allowBlank="1" showInputMessage="1" showErrorMessage="1" promptTitle="Magic Shop (68 BP)" prompt="[Must be adjacent to two houses]_x000a__x000a_A shop that specializes in magic items and spells. _x000a__x000a_City base value +2,000gp; 4 minor items, 2 medium items, 1 major item; _x000a__x000a_Economy +1." sqref="T26"/>
    <dataValidation allowBlank="1" showInputMessage="1" showErrorMessage="1" promptTitle="Luxury Store (28 BP)" prompt="[Must be adjacent to one house]_x000a__x000a_A shop that specializes in expensive wares and luxuries. _x000a__x000a_City base value +2,000 gp; 2 minor items; _x000a__x000a_Economy +1." sqref="T24"/>
    <dataValidation allowBlank="1" showInputMessage="1" showErrorMessage="1" promptTitle="Library (6 BP)" prompt="A large building containing books, often presided over by a sage or other scholar. _x000a__x000a_Economy +1, Loyalty +1." sqref="T22"/>
    <dataValidation allowBlank="1" showInputMessage="1" showErrorMessage="1" promptTitle="Inn (10 BP)" prompt="[Must be adjacent to one house]_x000a__x000a_A place for visitors to spend the night. _x000a__x000a_City base value +500 gp; Economy +1, Loyalty +1" sqref="T18"/>
    <dataValidation allowBlank="1" showInputMessage="1" showErrorMessage="1" promptTitle="House (3 BP)" prompt="Houses serve as prerequisites for many other buildings.The first house you build during any Improvement Phase does not count against the total number of buildings you can build during the phase. _x000a__x000a_Unrest –1._x000a_" sqref="T16"/>
    <dataValidation allowBlank="1" showInputMessage="1" showErrorMessage="1" promptTitle="Herbalist (10 BP)" prompt="[Must be adjacent to one house]_x000a__x000a_The workshop and home of a gardener, healer, poisoner, or creator of potions. _x000a__x000a_1 minor item; _x000a__x000a_Loyalty +1, Stability +1." sqref="T14"/>
    <dataValidation allowBlank="1" showInputMessage="1" showErrorMessage="1" promptTitle="Guildhall (34 BP)" prompt="[Must be adjacent to one house]_x000a__x000a_A large building that serves as headquarters for a guild or similar_x000a_organization. _x000a__x000a_City base value +1,000 gp; _x000a__x000a_halves cost of Pier, Stable, and Tradesman in same city; _x000a__x000a_Economy +2, Loyalty +2." sqref="T12"/>
    <dataValidation allowBlank="1" showInputMessage="1" showErrorMessage="1" promptTitle="Graveyard (4 BP)" prompt="A plot of land to honor and bury the dead. _x000a__x000a_Loyalty +1." sqref="T10"/>
    <dataValidation allowBlank="1" showInputMessage="1" showErrorMessage="1" promptTitle="Garrison (28 BP)" prompt="A large building to house armies, train guards, and recruit militia. _x000a__x000a_Halves cost of City Wall, Granary, and Jail in same city; _x000a__x000a_Loyalty +2, Stability +2; Unrest –2." sqref="D36"/>
    <dataValidation allowBlank="1" showInputMessage="1" showErrorMessage="1" promptTitle="Butcher (6 BP)" prompt="A building for slaughtering animals and selling meat._x000a__x000a_Loyalty +1, Economy +1" sqref="D48"/>
    <dataValidation allowBlank="1" showInputMessage="1" showErrorMessage="1" promptTitle="Aviary (8 BP)" prompt="A building to cultivate birds to keep the area free from small pests and to send messages._x000a__x000a_Stability +2" sqref="D44"/>
    <dataValidation type="whole" allowBlank="1" showInputMessage="1" showErrorMessage="1" errorTitle="Cathedral" error="Only one Cathedral per City can be build" promptTitle="Cathedral (58 BP)" prompt="[Limit of one per city]_x000a__x000a_The focal point of the city’s religion and spiritual leadership. _x000a__x000a_Halves cost of Temple or Academy in same city; halves Consumption increase penalty for promotion edicts; _x000a__x000a_3 minor items, 2 medium items; _x000a__x000a_Loyalty +4; Unrest –4_x000a_" sqref="D28">
      <formula1>0</formula1>
      <formula2>1</formula2>
    </dataValidation>
    <dataValidation allowBlank="1" showInputMessage="1" showErrorMessage="1" promptTitle="Caster’s Tower (30 BP)" prompt="The home and laboratory for a spellcaster._x000a__x000a_3 minor items, 2 medium items; _x000a__x000a_Economy +1, Loyalty +1." sqref="D24"/>
    <dataValidation type="whole" allowBlank="1" showInputMessage="1" showErrorMessage="1" errorTitle="Castle" error="Only one Castle per City can be build" promptTitle="Castle (54 BP)" prompt="[Limit of one per city]_x000a__x000a_The home of the city’s leader or the heart of its defenses. _x000a__x000a_Halves cost of Noble Villa or Town Hall in same city; _x000a__x000a_Economy +2, Loyalty +2, Stability +2; Defense Modifier +8; Unrest –4" sqref="D26">
      <formula1>0</formula1>
      <formula2>1</formula2>
    </dataValidation>
    <dataValidation allowBlank="1" showInputMessage="1" showErrorMessage="1" promptTitle="Brothel (4 BP)" prompt="[Must be adjacent to one house]_x000a__x000a_A place to pay for companionship of any sort. _x000a__x000a_Economy +1, Loyalty +2; Unrest +1." sqref="D22"/>
    <dataValidation allowBlank="1" showInputMessage="1" showErrorMessage="1" promptTitle="Black Market (50 BP)" prompt="[Must be adjacent to two houses]_x000a__x000a_A number of shops with secret and usually illegal or dangerous wares. _x000a__x000a_City base value +2,000; 2 minor items, 1 medium item, 1 major item; _x000a__x000a_Economy +2, Stability +1; Unrest +1." sqref="D18"/>
    <dataValidation allowBlank="1" showInputMessage="1" showErrorMessage="1" promptTitle="Barracks (6 BP)" prompt="A building to house city guards, militia, and military forces. _x000a__x000a_Defense Modifier +2; Unrest –1." sqref="D16"/>
    <dataValidation type="whole" allowBlank="1" showInputMessage="1" showErrorMessage="1" errorTitle="Arena" error="Only one Arena per City can be build" promptTitle="Arena (40 BP)" prompt="[Limit of one per city]_x000a__x000a_A large public structure for competitions, demonstrations, team sports, or bloodsports. _x000a__x000a_Halves cost of Garrison or Theater in same city; halves Consumption increase penalty for festival edicts; _x000a__x000a_stability +4" sqref="D14">
      <formula1>0</formula1>
      <formula2>1</formula2>
    </dataValidation>
    <dataValidation allowBlank="1" showInputMessage="1" showErrorMessage="1" promptTitle="Alchemist (18 BP)" prompt="[Must be adjacent to one house]_x000a__x000a_The laboratory and home of a creator of potions, poisons, and alchemical items. _x000a__x000a_City base value +1,000 gp; 1 minor item; _x000a__x000a_Economy +1." sqref="D12"/>
    <dataValidation allowBlank="1" showInputMessage="1" showErrorMessage="1" promptTitle="Academy (52 BP)" prompt="An institution of higher learning that can focus on any area of knowledge or education, including magic. _x000a__x000a_Halves cost of Caster’s Tower, Library,and Magic Shop in same city; _x000a__x000a_3 minor items, 2 medium items; _x000a__x000a_Economy +2, Loyalty +2." sqref="D10"/>
    <dataValidation allowBlank="1" showInputMessage="1" showErrorMessage="1" promptTitle="Physician (10 BP)" prompt="A healer and surgery, caring for the people._x000a__x000a_+1 Loyalty, +1 Stability, -1 Unrest" sqref="AJ48"/>
  </dataValidations>
  <pageMargins left="0.7" right="0.7" top="0.75" bottom="0.75" header="0.3" footer="0.3"/>
  <pageSetup paperSize="9" scale="8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2"/>
  <sheetViews>
    <sheetView zoomScaleNormal="100" workbookViewId="0">
      <selection activeCell="D22" sqref="D22"/>
    </sheetView>
  </sheetViews>
  <sheetFormatPr defaultRowHeight="15" x14ac:dyDescent="0.25"/>
  <cols>
    <col min="1" max="1" width="0.85546875" customWidth="1"/>
    <col min="2" max="2" width="26.140625" customWidth="1"/>
    <col min="3" max="3" width="0.85546875" style="11" customWidth="1"/>
    <col min="5" max="5" width="0.85546875" style="5" customWidth="1"/>
    <col min="6" max="6" width="9.140625" hidden="1" customWidth="1"/>
    <col min="7" max="7" width="0.85546875" style="5" hidden="1" customWidth="1"/>
    <col min="8" max="8" width="9.140625" hidden="1" customWidth="1"/>
    <col min="9" max="9" width="0.85546875" style="5" hidden="1" customWidth="1"/>
    <col min="10" max="10" width="9.140625" hidden="1" customWidth="1"/>
    <col min="11" max="11" width="0.85546875" style="5" hidden="1" customWidth="1"/>
    <col min="12" max="12" width="9.140625" hidden="1" customWidth="1"/>
    <col min="13" max="13" width="0.85546875" style="5" hidden="1" customWidth="1"/>
    <col min="14" max="20" width="9.140625" hidden="1" customWidth="1"/>
  </cols>
  <sheetData>
    <row r="1" spans="1:21" ht="6" customHeight="1" thickBot="1" x14ac:dyDescent="0.3">
      <c r="A1" s="348"/>
      <c r="B1" s="349"/>
      <c r="C1" s="350"/>
      <c r="D1" s="349"/>
      <c r="E1" s="351"/>
      <c r="F1" s="130"/>
      <c r="G1" s="139"/>
      <c r="H1" s="130"/>
      <c r="I1" s="139"/>
      <c r="J1" s="130"/>
      <c r="K1" s="139"/>
      <c r="L1" s="130"/>
      <c r="M1" s="139"/>
      <c r="N1" s="130"/>
      <c r="O1" s="130"/>
      <c r="P1" s="130"/>
      <c r="Q1" s="130"/>
      <c r="R1" s="130"/>
      <c r="S1" s="130"/>
      <c r="T1" s="130"/>
      <c r="U1" s="130"/>
    </row>
    <row r="2" spans="1:21" ht="15.75" thickBot="1" x14ac:dyDescent="0.3">
      <c r="A2" s="19"/>
      <c r="B2" s="69" t="s">
        <v>102</v>
      </c>
      <c r="C2" s="61"/>
      <c r="D2" s="57">
        <v>8</v>
      </c>
      <c r="E2" s="85"/>
    </row>
    <row r="3" spans="1:21" s="1" customFormat="1" ht="3" customHeight="1" thickBot="1" x14ac:dyDescent="0.3">
      <c r="A3" s="33"/>
      <c r="B3" s="61"/>
      <c r="C3" s="61"/>
      <c r="D3" s="11"/>
      <c r="E3" s="22"/>
      <c r="G3" s="11"/>
      <c r="I3" s="11"/>
      <c r="K3" s="11"/>
      <c r="M3" s="11"/>
    </row>
    <row r="4" spans="1:21" ht="15.75" thickBot="1" x14ac:dyDescent="0.3">
      <c r="A4" s="19"/>
      <c r="B4" s="166" t="s">
        <v>49</v>
      </c>
      <c r="C4" s="62"/>
      <c r="D4" s="46">
        <f>ROUNDDOWN((SUM(P18:P42)),0)</f>
        <v>8</v>
      </c>
      <c r="E4" s="86"/>
    </row>
    <row r="5" spans="1:21" s="1" customFormat="1" ht="3" customHeight="1" thickBot="1" x14ac:dyDescent="0.3">
      <c r="A5" s="33"/>
      <c r="B5" s="61"/>
      <c r="C5" s="61"/>
      <c r="D5" s="21"/>
      <c r="E5" s="87"/>
      <c r="G5" s="11"/>
      <c r="I5" s="11"/>
      <c r="K5" s="11"/>
      <c r="M5" s="11"/>
    </row>
    <row r="6" spans="1:21" ht="15.75" thickBot="1" x14ac:dyDescent="0.3">
      <c r="A6" s="19"/>
      <c r="B6" s="166" t="s">
        <v>50</v>
      </c>
      <c r="C6" s="62"/>
      <c r="D6" s="46">
        <f>ROUNDDOWN((SUM(Q18:Q42)),0)</f>
        <v>0</v>
      </c>
      <c r="E6" s="86"/>
    </row>
    <row r="7" spans="1:21" s="1" customFormat="1" ht="3" customHeight="1" thickBot="1" x14ac:dyDescent="0.3">
      <c r="A7" s="33"/>
      <c r="B7" s="61"/>
      <c r="C7" s="61"/>
      <c r="D7" s="21"/>
      <c r="E7" s="87"/>
      <c r="G7" s="11"/>
      <c r="I7" s="11"/>
      <c r="K7" s="11"/>
      <c r="M7" s="11"/>
    </row>
    <row r="8" spans="1:21" ht="15.75" thickBot="1" x14ac:dyDescent="0.3">
      <c r="A8" s="19"/>
      <c r="B8" s="166" t="s">
        <v>51</v>
      </c>
      <c r="C8" s="62"/>
      <c r="D8" s="46">
        <f>ROUNDDOWN((SUM(R18:R42)),0)</f>
        <v>6</v>
      </c>
      <c r="E8" s="86"/>
    </row>
    <row r="9" spans="1:21" s="1" customFormat="1" ht="3" customHeight="1" thickBot="1" x14ac:dyDescent="0.3">
      <c r="A9" s="33"/>
      <c r="B9" s="62"/>
      <c r="C9" s="62"/>
      <c r="D9" s="165"/>
      <c r="E9" s="88"/>
      <c r="G9" s="11"/>
      <c r="I9" s="11"/>
      <c r="K9" s="11"/>
      <c r="M9" s="11"/>
    </row>
    <row r="10" spans="1:21" ht="15.75" thickBot="1" x14ac:dyDescent="0.3">
      <c r="A10" s="19"/>
      <c r="B10" s="166" t="s">
        <v>95</v>
      </c>
      <c r="C10" s="62"/>
      <c r="D10" s="46">
        <f>ROUNDDOWN((SUM(S18:S42)),0)</f>
        <v>0</v>
      </c>
      <c r="E10" s="86"/>
    </row>
    <row r="11" spans="1:21" s="1" customFormat="1" ht="3" customHeight="1" thickBot="1" x14ac:dyDescent="0.3">
      <c r="A11" s="33"/>
      <c r="B11" s="62"/>
      <c r="C11" s="62"/>
      <c r="D11" s="165"/>
      <c r="E11" s="88"/>
      <c r="G11" s="11"/>
      <c r="I11" s="11"/>
      <c r="K11" s="11"/>
      <c r="M11" s="11"/>
    </row>
    <row r="12" spans="1:21" ht="15.75" thickBot="1" x14ac:dyDescent="0.3">
      <c r="A12" s="19"/>
      <c r="B12" s="166" t="s">
        <v>57</v>
      </c>
      <c r="C12" s="62"/>
      <c r="D12" s="46">
        <f>ROUNDDOWN((SUM(T18:T42)),0)</f>
        <v>0</v>
      </c>
      <c r="E12" s="86"/>
    </row>
    <row r="13" spans="1:21" s="1" customFormat="1" ht="3" customHeight="1" x14ac:dyDescent="0.25">
      <c r="A13" s="33"/>
      <c r="B13" s="62"/>
      <c r="C13" s="62"/>
      <c r="D13" s="165"/>
      <c r="E13" s="88"/>
      <c r="G13" s="11"/>
      <c r="I13" s="11"/>
      <c r="K13" s="11"/>
      <c r="M13" s="11"/>
    </row>
    <row r="14" spans="1:21" x14ac:dyDescent="0.25">
      <c r="A14" s="19"/>
      <c r="B14" s="359" t="s">
        <v>56</v>
      </c>
      <c r="C14" s="359"/>
      <c r="D14" s="359"/>
      <c r="E14" s="89"/>
      <c r="F14" s="84"/>
      <c r="G14" s="84"/>
      <c r="H14" s="84"/>
      <c r="I14" s="84"/>
      <c r="J14" s="84"/>
      <c r="K14" s="84"/>
      <c r="L14" s="84"/>
      <c r="M14" s="84"/>
      <c r="N14" s="84"/>
    </row>
    <row r="15" spans="1:21" s="1" customFormat="1" ht="3" customHeight="1" thickBot="1" x14ac:dyDescent="0.3">
      <c r="A15" s="33"/>
      <c r="B15" s="62"/>
      <c r="C15" s="62"/>
      <c r="D15" s="165"/>
      <c r="E15" s="88"/>
      <c r="G15" s="11"/>
      <c r="I15" s="11"/>
      <c r="K15" s="11"/>
      <c r="M15" s="11"/>
    </row>
    <row r="16" spans="1:21" ht="15.75" thickBot="1" x14ac:dyDescent="0.3">
      <c r="A16" s="243"/>
      <c r="B16" s="342" t="s">
        <v>91</v>
      </c>
      <c r="C16" s="342"/>
      <c r="D16" s="343" t="s">
        <v>103</v>
      </c>
      <c r="E16" s="344"/>
      <c r="F16" s="63" t="s">
        <v>92</v>
      </c>
      <c r="G16" s="63"/>
      <c r="H16" s="63" t="s">
        <v>94</v>
      </c>
      <c r="I16" s="63"/>
      <c r="J16" s="63" t="s">
        <v>93</v>
      </c>
      <c r="K16" s="63"/>
      <c r="L16" s="63" t="s">
        <v>363</v>
      </c>
      <c r="M16" s="63"/>
      <c r="N16" s="63" t="s">
        <v>364</v>
      </c>
      <c r="P16" s="48" t="s">
        <v>92</v>
      </c>
      <c r="Q16" s="49" t="s">
        <v>94</v>
      </c>
      <c r="R16" s="49" t="s">
        <v>93</v>
      </c>
      <c r="S16" s="49" t="s">
        <v>363</v>
      </c>
      <c r="T16" s="50" t="s">
        <v>364</v>
      </c>
    </row>
    <row r="17" spans="1:20" s="1" customFormat="1" ht="3" customHeight="1" thickBot="1" x14ac:dyDescent="0.3">
      <c r="A17" s="345"/>
      <c r="B17" s="144"/>
      <c r="C17" s="144"/>
      <c r="D17" s="133"/>
      <c r="E17" s="336"/>
      <c r="G17" s="11"/>
      <c r="I17" s="11"/>
      <c r="K17" s="11"/>
      <c r="M17" s="11"/>
    </row>
    <row r="18" spans="1:20" ht="15.75" thickBot="1" x14ac:dyDescent="0.3">
      <c r="A18" s="243"/>
      <c r="B18" s="346" t="s">
        <v>99</v>
      </c>
      <c r="C18" s="134"/>
      <c r="D18" s="57">
        <v>1</v>
      </c>
      <c r="E18" s="245"/>
      <c r="F18" s="83"/>
      <c r="G18" s="65"/>
      <c r="H18" s="46"/>
      <c r="I18" s="64"/>
      <c r="J18" s="46">
        <v>1</v>
      </c>
      <c r="K18" s="64"/>
      <c r="L18" s="46"/>
      <c r="M18" s="64"/>
      <c r="N18" s="46"/>
      <c r="P18" s="44">
        <f>$D18*F18</f>
        <v>0</v>
      </c>
      <c r="Q18" s="36">
        <f>$D18*H18</f>
        <v>0</v>
      </c>
      <c r="R18" s="36">
        <f t="shared" ref="R18:R26" si="0">$D18*J18</f>
        <v>1</v>
      </c>
      <c r="S18" s="36">
        <f>$D18*L18</f>
        <v>0</v>
      </c>
      <c r="T18" s="37">
        <f>$D18*N18</f>
        <v>0</v>
      </c>
    </row>
    <row r="19" spans="1:20" ht="3" customHeight="1" thickBot="1" x14ac:dyDescent="0.3">
      <c r="A19" s="243"/>
      <c r="B19" s="139"/>
      <c r="C19" s="134"/>
      <c r="D19" s="347"/>
      <c r="E19" s="245"/>
      <c r="F19" s="47"/>
      <c r="G19" s="47"/>
      <c r="H19" s="47"/>
      <c r="I19" s="47"/>
      <c r="J19" s="47"/>
      <c r="K19" s="81"/>
      <c r="L19" s="81"/>
      <c r="M19" s="81"/>
      <c r="N19" s="81"/>
      <c r="O19" s="5"/>
      <c r="P19" s="42"/>
      <c r="Q19" s="38"/>
      <c r="R19" s="38"/>
      <c r="S19" s="38">
        <f t="shared" ref="S19:S42" si="1">$D19*L19</f>
        <v>0</v>
      </c>
      <c r="T19" s="39">
        <f t="shared" ref="T19:T42" si="2">$D19*N19</f>
        <v>0</v>
      </c>
    </row>
    <row r="20" spans="1:20" ht="15.75" thickBot="1" x14ac:dyDescent="0.3">
      <c r="A20" s="243"/>
      <c r="B20" s="346" t="s">
        <v>147</v>
      </c>
      <c r="C20" s="134"/>
      <c r="D20" s="57">
        <v>5</v>
      </c>
      <c r="E20" s="245"/>
      <c r="F20" s="83"/>
      <c r="G20" s="65"/>
      <c r="H20" s="46"/>
      <c r="I20" s="64"/>
      <c r="J20" s="46"/>
      <c r="K20" s="64"/>
      <c r="L20" s="46"/>
      <c r="M20" s="64"/>
      <c r="N20" s="46"/>
      <c r="P20" s="42">
        <f>$D20*F20</f>
        <v>0</v>
      </c>
      <c r="Q20" s="38">
        <f>$D20*H20</f>
        <v>0</v>
      </c>
      <c r="R20" s="38">
        <f t="shared" si="0"/>
        <v>0</v>
      </c>
      <c r="S20" s="38">
        <f t="shared" si="1"/>
        <v>0</v>
      </c>
      <c r="T20" s="39">
        <f t="shared" si="2"/>
        <v>0</v>
      </c>
    </row>
    <row r="21" spans="1:20" s="5" customFormat="1" ht="3" customHeight="1" thickBot="1" x14ac:dyDescent="0.3">
      <c r="A21" s="243"/>
      <c r="B21" s="139"/>
      <c r="C21" s="134"/>
      <c r="D21" s="140"/>
      <c r="E21" s="245"/>
      <c r="F21" s="47"/>
      <c r="G21" s="47"/>
      <c r="H21" s="47"/>
      <c r="I21" s="47"/>
      <c r="J21" s="47"/>
      <c r="K21" s="81"/>
      <c r="L21" s="81"/>
      <c r="M21" s="81"/>
      <c r="N21" s="81"/>
      <c r="P21" s="214"/>
      <c r="Q21" s="66"/>
      <c r="R21" s="66"/>
      <c r="S21" s="66">
        <f t="shared" si="1"/>
        <v>0</v>
      </c>
      <c r="T21" s="39">
        <f t="shared" si="2"/>
        <v>0</v>
      </c>
    </row>
    <row r="22" spans="1:20" ht="15.75" thickBot="1" x14ac:dyDescent="0.3">
      <c r="A22" s="243"/>
      <c r="B22" s="346" t="s">
        <v>100</v>
      </c>
      <c r="C22" s="134"/>
      <c r="D22" s="57"/>
      <c r="E22" s="245"/>
      <c r="F22" s="83"/>
      <c r="G22" s="65"/>
      <c r="H22" s="46">
        <v>1</v>
      </c>
      <c r="I22" s="64"/>
      <c r="J22" s="46"/>
      <c r="K22" s="64"/>
      <c r="L22" s="46"/>
      <c r="M22" s="64"/>
      <c r="N22" s="46"/>
      <c r="P22" s="42">
        <f>$D22*F22</f>
        <v>0</v>
      </c>
      <c r="Q22" s="38">
        <f>$D22*H22</f>
        <v>0</v>
      </c>
      <c r="R22" s="38">
        <f t="shared" si="0"/>
        <v>0</v>
      </c>
      <c r="S22" s="38">
        <f t="shared" si="1"/>
        <v>0</v>
      </c>
      <c r="T22" s="39">
        <f t="shared" si="2"/>
        <v>0</v>
      </c>
    </row>
    <row r="23" spans="1:20" s="5" customFormat="1" ht="3" customHeight="1" thickBot="1" x14ac:dyDescent="0.3">
      <c r="A23" s="243"/>
      <c r="B23" s="139"/>
      <c r="C23" s="134"/>
      <c r="D23" s="140"/>
      <c r="E23" s="245"/>
      <c r="F23" s="47"/>
      <c r="G23" s="47"/>
      <c r="H23" s="47"/>
      <c r="I23" s="47"/>
      <c r="J23" s="47"/>
      <c r="K23" s="81"/>
      <c r="L23" s="81"/>
      <c r="M23" s="81"/>
      <c r="N23" s="81"/>
      <c r="P23" s="214"/>
      <c r="Q23" s="66"/>
      <c r="R23" s="66"/>
      <c r="S23" s="66">
        <f t="shared" si="1"/>
        <v>0</v>
      </c>
      <c r="T23" s="39">
        <f t="shared" si="2"/>
        <v>0</v>
      </c>
    </row>
    <row r="24" spans="1:20" ht="15.75" thickBot="1" x14ac:dyDescent="0.3">
      <c r="A24" s="243"/>
      <c r="B24" s="346" t="s">
        <v>101</v>
      </c>
      <c r="C24" s="134"/>
      <c r="D24" s="57">
        <v>8</v>
      </c>
      <c r="E24" s="245"/>
      <c r="F24" s="83">
        <v>0.25</v>
      </c>
      <c r="G24" s="65"/>
      <c r="H24" s="46"/>
      <c r="I24" s="64"/>
      <c r="J24" s="46">
        <v>0.125</v>
      </c>
      <c r="K24" s="64"/>
      <c r="L24" s="46"/>
      <c r="M24" s="64"/>
      <c r="N24" s="46"/>
      <c r="P24" s="42">
        <f>$D24*F24</f>
        <v>2</v>
      </c>
      <c r="Q24" s="38">
        <f>$D24*H24</f>
        <v>0</v>
      </c>
      <c r="R24" s="38">
        <f t="shared" si="0"/>
        <v>1</v>
      </c>
      <c r="S24" s="38">
        <f t="shared" si="1"/>
        <v>0</v>
      </c>
      <c r="T24" s="39">
        <f t="shared" si="2"/>
        <v>0</v>
      </c>
    </row>
    <row r="25" spans="1:20" s="5" customFormat="1" ht="3" customHeight="1" thickBot="1" x14ac:dyDescent="0.3">
      <c r="A25" s="243"/>
      <c r="B25" s="139"/>
      <c r="C25" s="134"/>
      <c r="D25" s="140"/>
      <c r="E25" s="245"/>
      <c r="F25" s="79"/>
      <c r="G25" s="79"/>
      <c r="H25" s="79"/>
      <c r="I25" s="79"/>
      <c r="J25" s="79"/>
      <c r="K25" s="81"/>
      <c r="L25" s="81"/>
      <c r="M25" s="81"/>
      <c r="N25" s="81"/>
      <c r="P25" s="214"/>
      <c r="Q25" s="66"/>
      <c r="R25" s="66"/>
      <c r="S25" s="66">
        <f t="shared" si="1"/>
        <v>0</v>
      </c>
      <c r="T25" s="39">
        <f t="shared" si="2"/>
        <v>0</v>
      </c>
    </row>
    <row r="26" spans="1:20" ht="15.75" thickBot="1" x14ac:dyDescent="0.3">
      <c r="A26" s="243"/>
      <c r="B26" s="346" t="s">
        <v>155</v>
      </c>
      <c r="C26" s="134"/>
      <c r="D26" s="57">
        <v>2</v>
      </c>
      <c r="E26" s="245"/>
      <c r="F26" s="83">
        <v>1</v>
      </c>
      <c r="G26" s="65"/>
      <c r="H26" s="46"/>
      <c r="I26" s="64"/>
      <c r="J26" s="46"/>
      <c r="K26" s="64"/>
      <c r="L26" s="46"/>
      <c r="M26" s="64"/>
      <c r="N26" s="46"/>
      <c r="P26" s="43">
        <f>$D26*F26</f>
        <v>2</v>
      </c>
      <c r="Q26" s="40">
        <f>$D26*H26</f>
        <v>0</v>
      </c>
      <c r="R26" s="40">
        <f t="shared" si="0"/>
        <v>0</v>
      </c>
      <c r="S26" s="40">
        <f t="shared" si="1"/>
        <v>0</v>
      </c>
      <c r="T26" s="41">
        <f t="shared" si="2"/>
        <v>0</v>
      </c>
    </row>
    <row r="27" spans="1:20" s="1" customFormat="1" ht="3" customHeight="1" x14ac:dyDescent="0.25">
      <c r="A27" s="345"/>
      <c r="B27" s="144"/>
      <c r="C27" s="144"/>
      <c r="D27" s="133"/>
      <c r="E27" s="336"/>
      <c r="G27" s="11"/>
      <c r="I27" s="11"/>
      <c r="K27" s="11"/>
      <c r="M27" s="11"/>
      <c r="S27" s="1">
        <f t="shared" si="1"/>
        <v>0</v>
      </c>
      <c r="T27" s="1">
        <f t="shared" si="2"/>
        <v>0</v>
      </c>
    </row>
    <row r="28" spans="1:20" x14ac:dyDescent="0.25">
      <c r="A28" s="243"/>
      <c r="B28" s="408" t="s">
        <v>366</v>
      </c>
      <c r="C28" s="408"/>
      <c r="D28" s="408"/>
      <c r="E28" s="245"/>
      <c r="F28" s="5"/>
      <c r="R28" s="1"/>
      <c r="S28" s="1"/>
    </row>
    <row r="29" spans="1:20" s="1" customFormat="1" ht="3" customHeight="1" thickBot="1" x14ac:dyDescent="0.3">
      <c r="A29" s="33"/>
      <c r="B29" s="62"/>
      <c r="C29" s="62"/>
      <c r="D29" s="165"/>
      <c r="E29" s="88"/>
      <c r="F29" s="11"/>
      <c r="G29" s="11"/>
      <c r="I29" s="11"/>
      <c r="K29" s="11"/>
      <c r="M29" s="11"/>
      <c r="S29" s="1">
        <f t="shared" si="1"/>
        <v>0</v>
      </c>
      <c r="T29" s="1">
        <f t="shared" si="2"/>
        <v>0</v>
      </c>
    </row>
    <row r="30" spans="1:20" ht="15.75" thickBot="1" x14ac:dyDescent="0.3">
      <c r="A30" s="19"/>
      <c r="B30" s="184" t="s">
        <v>361</v>
      </c>
      <c r="D30" s="57"/>
      <c r="E30" s="18"/>
      <c r="F30" s="164">
        <v>0.25</v>
      </c>
      <c r="G30" s="65"/>
      <c r="H30" s="46"/>
      <c r="I30" s="64"/>
      <c r="J30" s="46"/>
      <c r="K30" s="64"/>
      <c r="L30" s="46"/>
      <c r="M30" s="64"/>
      <c r="N30" s="46"/>
      <c r="P30" s="44">
        <f>$D30*F30</f>
        <v>0</v>
      </c>
      <c r="Q30" s="36">
        <f>$D30*H30</f>
        <v>0</v>
      </c>
      <c r="R30" s="36">
        <f t="shared" ref="R30" si="3">$D30*J30</f>
        <v>0</v>
      </c>
      <c r="S30" s="36">
        <f t="shared" si="1"/>
        <v>0</v>
      </c>
      <c r="T30" s="37">
        <f t="shared" si="2"/>
        <v>0</v>
      </c>
    </row>
    <row r="31" spans="1:20" s="1" customFormat="1" ht="3" customHeight="1" thickBot="1" x14ac:dyDescent="0.3">
      <c r="A31" s="33"/>
      <c r="B31" s="62"/>
      <c r="C31" s="62"/>
      <c r="D31" s="165"/>
      <c r="E31" s="88"/>
      <c r="F31" s="81"/>
      <c r="G31" s="81"/>
      <c r="H31" s="81"/>
      <c r="I31" s="81"/>
      <c r="J31" s="81"/>
      <c r="K31" s="81"/>
      <c r="L31" s="81"/>
      <c r="M31" s="81"/>
      <c r="N31" s="81"/>
      <c r="P31" s="33"/>
      <c r="Q31" s="11"/>
      <c r="R31" s="11"/>
      <c r="S31" s="11">
        <f t="shared" si="1"/>
        <v>0</v>
      </c>
      <c r="T31" s="39">
        <f t="shared" si="2"/>
        <v>0</v>
      </c>
    </row>
    <row r="32" spans="1:20" ht="15.75" thickBot="1" x14ac:dyDescent="0.3">
      <c r="A32" s="19"/>
      <c r="B32" s="184" t="s">
        <v>1253</v>
      </c>
      <c r="D32" s="57"/>
      <c r="E32" s="18"/>
      <c r="F32" s="164">
        <v>1</v>
      </c>
      <c r="G32" s="65"/>
      <c r="H32" s="46"/>
      <c r="I32" s="64"/>
      <c r="J32" s="46">
        <v>1</v>
      </c>
      <c r="K32" s="64"/>
      <c r="L32" s="46"/>
      <c r="M32" s="64"/>
      <c r="N32" s="46"/>
      <c r="P32" s="42">
        <f>$D32*F32</f>
        <v>0</v>
      </c>
      <c r="Q32" s="38">
        <f>$D32*H32</f>
        <v>0</v>
      </c>
      <c r="R32" s="38">
        <f t="shared" ref="R32" si="4">$D32*J32</f>
        <v>0</v>
      </c>
      <c r="S32" s="38">
        <f t="shared" si="1"/>
        <v>0</v>
      </c>
      <c r="T32" s="39">
        <f t="shared" si="2"/>
        <v>0</v>
      </c>
    </row>
    <row r="33" spans="1:20" s="1" customFormat="1" ht="3" customHeight="1" thickBot="1" x14ac:dyDescent="0.3">
      <c r="A33" s="33"/>
      <c r="B33" s="62"/>
      <c r="C33" s="62"/>
      <c r="D33" s="165"/>
      <c r="E33" s="88"/>
      <c r="F33" s="11"/>
      <c r="G33" s="11"/>
      <c r="I33" s="11"/>
      <c r="K33" s="11"/>
      <c r="M33" s="11"/>
      <c r="P33" s="33"/>
      <c r="Q33" s="11"/>
      <c r="R33" s="11"/>
      <c r="S33" s="11">
        <f t="shared" si="1"/>
        <v>0</v>
      </c>
      <c r="T33" s="39">
        <f t="shared" si="2"/>
        <v>0</v>
      </c>
    </row>
    <row r="34" spans="1:20" ht="15.75" thickBot="1" x14ac:dyDescent="0.3">
      <c r="A34" s="19"/>
      <c r="B34" s="69" t="s">
        <v>362</v>
      </c>
      <c r="D34" s="57"/>
      <c r="E34" s="18"/>
      <c r="F34" s="164">
        <v>2</v>
      </c>
      <c r="G34" s="65"/>
      <c r="H34" s="46"/>
      <c r="I34" s="64"/>
      <c r="J34" s="46">
        <v>1</v>
      </c>
      <c r="K34" s="64"/>
      <c r="L34" s="46"/>
      <c r="M34" s="64"/>
      <c r="N34" s="46"/>
      <c r="P34" s="42">
        <f>$D34*F34</f>
        <v>0</v>
      </c>
      <c r="Q34" s="38">
        <f>$D34*H34</f>
        <v>0</v>
      </c>
      <c r="R34" s="38">
        <f t="shared" ref="R34" si="5">$D34*J34</f>
        <v>0</v>
      </c>
      <c r="S34" s="38">
        <f t="shared" si="1"/>
        <v>0</v>
      </c>
      <c r="T34" s="39">
        <f t="shared" si="2"/>
        <v>0</v>
      </c>
    </row>
    <row r="35" spans="1:20" s="1" customFormat="1" ht="3" customHeight="1" thickBot="1" x14ac:dyDescent="0.3">
      <c r="A35" s="33"/>
      <c r="B35" s="62"/>
      <c r="C35" s="62"/>
      <c r="D35" s="165"/>
      <c r="E35" s="88"/>
      <c r="F35" s="11"/>
      <c r="G35" s="11"/>
      <c r="I35" s="11"/>
      <c r="K35" s="11"/>
      <c r="M35" s="11"/>
      <c r="P35" s="33"/>
      <c r="Q35" s="11"/>
      <c r="R35" s="11"/>
      <c r="S35" s="11">
        <f t="shared" si="1"/>
        <v>0</v>
      </c>
      <c r="T35" s="39">
        <f t="shared" si="2"/>
        <v>0</v>
      </c>
    </row>
    <row r="36" spans="1:20" ht="15.75" thickBot="1" x14ac:dyDescent="0.3">
      <c r="A36" s="19"/>
      <c r="B36" s="183" t="s">
        <v>358</v>
      </c>
      <c r="D36" s="57"/>
      <c r="E36" s="18"/>
      <c r="F36" s="164"/>
      <c r="G36" s="65"/>
      <c r="H36" s="46"/>
      <c r="I36" s="64"/>
      <c r="J36" s="46">
        <v>1</v>
      </c>
      <c r="K36" s="64"/>
      <c r="L36" s="46">
        <v>2</v>
      </c>
      <c r="M36" s="64"/>
      <c r="N36" s="46">
        <v>-1</v>
      </c>
      <c r="P36" s="42">
        <f>$D36*F36</f>
        <v>0</v>
      </c>
      <c r="Q36" s="38">
        <f>$D36*H36</f>
        <v>0</v>
      </c>
      <c r="R36" s="38">
        <f t="shared" ref="R36" si="6">$D36*J36</f>
        <v>0</v>
      </c>
      <c r="S36" s="38">
        <f t="shared" si="1"/>
        <v>0</v>
      </c>
      <c r="T36" s="39">
        <f t="shared" si="2"/>
        <v>0</v>
      </c>
    </row>
    <row r="37" spans="1:20" s="1" customFormat="1" ht="3" customHeight="1" thickBot="1" x14ac:dyDescent="0.3">
      <c r="A37" s="33"/>
      <c r="B37" s="62"/>
      <c r="C37" s="62"/>
      <c r="D37" s="165"/>
      <c r="E37" s="88"/>
      <c r="F37" s="11"/>
      <c r="G37" s="11"/>
      <c r="I37" s="11"/>
      <c r="K37" s="11"/>
      <c r="M37" s="11"/>
      <c r="P37" s="33"/>
      <c r="Q37" s="11"/>
      <c r="R37" s="11"/>
      <c r="S37" s="11">
        <f t="shared" si="1"/>
        <v>0</v>
      </c>
      <c r="T37" s="39">
        <f t="shared" si="2"/>
        <v>0</v>
      </c>
    </row>
    <row r="38" spans="1:20" ht="15.75" thickBot="1" x14ac:dyDescent="0.3">
      <c r="A38" s="19"/>
      <c r="B38" s="183" t="s">
        <v>359</v>
      </c>
      <c r="D38" s="57"/>
      <c r="E38" s="18"/>
      <c r="F38" s="164">
        <v>2</v>
      </c>
      <c r="G38" s="65"/>
      <c r="H38" s="46"/>
      <c r="I38" s="64"/>
      <c r="J38" s="46"/>
      <c r="K38" s="64"/>
      <c r="L38" s="46"/>
      <c r="M38" s="64"/>
      <c r="N38" s="46"/>
      <c r="P38" s="42">
        <f>$D38*F38</f>
        <v>0</v>
      </c>
      <c r="Q38" s="38">
        <f>$D38*H38</f>
        <v>0</v>
      </c>
      <c r="R38" s="38">
        <f t="shared" ref="R38" si="7">$D38*J38</f>
        <v>0</v>
      </c>
      <c r="S38" s="38">
        <f t="shared" si="1"/>
        <v>0</v>
      </c>
      <c r="T38" s="39">
        <f t="shared" si="2"/>
        <v>0</v>
      </c>
    </row>
    <row r="39" spans="1:20" s="1" customFormat="1" ht="3" customHeight="1" thickBot="1" x14ac:dyDescent="0.3">
      <c r="A39" s="33"/>
      <c r="B39" s="62"/>
      <c r="C39" s="62"/>
      <c r="D39" s="165"/>
      <c r="E39" s="88"/>
      <c r="F39" s="11"/>
      <c r="G39" s="11"/>
      <c r="I39" s="11"/>
      <c r="K39" s="11"/>
      <c r="M39" s="11"/>
      <c r="P39" s="33"/>
      <c r="Q39" s="11"/>
      <c r="R39" s="11"/>
      <c r="S39" s="11">
        <f t="shared" si="1"/>
        <v>0</v>
      </c>
      <c r="T39" s="39">
        <f t="shared" si="2"/>
        <v>0</v>
      </c>
    </row>
    <row r="40" spans="1:20" ht="15.75" thickBot="1" x14ac:dyDescent="0.3">
      <c r="A40" s="19"/>
      <c r="B40" s="69" t="s">
        <v>360</v>
      </c>
      <c r="D40" s="57">
        <v>4</v>
      </c>
      <c r="E40" s="18"/>
      <c r="F40" s="164">
        <v>1</v>
      </c>
      <c r="G40" s="65"/>
      <c r="H40" s="46"/>
      <c r="I40" s="64"/>
      <c r="J40" s="46">
        <v>1</v>
      </c>
      <c r="K40" s="64"/>
      <c r="L40" s="46"/>
      <c r="M40" s="64"/>
      <c r="N40" s="46"/>
      <c r="P40" s="42">
        <f>$D40*F40</f>
        <v>4</v>
      </c>
      <c r="Q40" s="38">
        <f>$D40*H40</f>
        <v>0</v>
      </c>
      <c r="R40" s="38">
        <f t="shared" ref="R40" si="8">$D40*J40</f>
        <v>4</v>
      </c>
      <c r="S40" s="38">
        <f t="shared" si="1"/>
        <v>0</v>
      </c>
      <c r="T40" s="39">
        <f t="shared" si="2"/>
        <v>0</v>
      </c>
    </row>
    <row r="41" spans="1:20" s="1" customFormat="1" ht="3" customHeight="1" thickBot="1" x14ac:dyDescent="0.3">
      <c r="A41" s="33"/>
      <c r="B41" s="62"/>
      <c r="C41" s="62"/>
      <c r="D41" s="165"/>
      <c r="E41" s="88"/>
      <c r="F41" s="11"/>
      <c r="G41" s="11"/>
      <c r="I41" s="11"/>
      <c r="K41" s="11"/>
      <c r="M41" s="11"/>
      <c r="P41" s="33"/>
      <c r="Q41" s="11"/>
      <c r="R41" s="11"/>
      <c r="S41" s="11">
        <f t="shared" si="1"/>
        <v>0</v>
      </c>
      <c r="T41" s="39">
        <f t="shared" si="2"/>
        <v>0</v>
      </c>
    </row>
    <row r="42" spans="1:20" ht="15.75" thickBot="1" x14ac:dyDescent="0.3">
      <c r="A42" s="19"/>
      <c r="B42" s="183" t="s">
        <v>365</v>
      </c>
      <c r="D42" s="57"/>
      <c r="E42" s="18"/>
      <c r="F42" s="164">
        <v>2</v>
      </c>
      <c r="G42" s="65"/>
      <c r="H42" s="46"/>
      <c r="I42" s="64"/>
      <c r="J42" s="46">
        <v>1</v>
      </c>
      <c r="K42" s="64"/>
      <c r="L42" s="46"/>
      <c r="M42" s="64"/>
      <c r="N42" s="46"/>
      <c r="P42" s="43">
        <f>$D42*F42</f>
        <v>0</v>
      </c>
      <c r="Q42" s="40">
        <f>$D42*H42</f>
        <v>0</v>
      </c>
      <c r="R42" s="40">
        <f t="shared" ref="R42" si="9">$D42*J42</f>
        <v>0</v>
      </c>
      <c r="S42" s="40">
        <f t="shared" si="1"/>
        <v>0</v>
      </c>
      <c r="T42" s="41">
        <f t="shared" si="2"/>
        <v>0</v>
      </c>
    </row>
    <row r="43" spans="1:20" s="1" customFormat="1" ht="3" customHeight="1" thickBot="1" x14ac:dyDescent="0.3">
      <c r="A43" s="185"/>
      <c r="B43" s="28"/>
      <c r="C43" s="180"/>
      <c r="D43" s="181"/>
      <c r="E43" s="182"/>
      <c r="F43" s="11"/>
      <c r="G43" s="11"/>
      <c r="I43" s="11"/>
      <c r="K43" s="11"/>
      <c r="M43" s="11"/>
    </row>
    <row r="44" spans="1:20" x14ac:dyDescent="0.25">
      <c r="A44" s="5"/>
      <c r="D44" s="5"/>
      <c r="F44" s="5"/>
    </row>
    <row r="45" spans="1:20" s="1" customFormat="1" ht="3" customHeight="1" x14ac:dyDescent="0.25">
      <c r="A45" s="11"/>
      <c r="C45" s="62"/>
      <c r="D45" s="165"/>
      <c r="E45" s="165"/>
      <c r="F45" s="11"/>
      <c r="G45" s="11"/>
      <c r="I45" s="11"/>
      <c r="K45" s="11"/>
      <c r="M45" s="11"/>
    </row>
    <row r="46" spans="1:20" x14ac:dyDescent="0.25">
      <c r="A46" s="5"/>
      <c r="D46" s="5"/>
      <c r="F46" s="5"/>
    </row>
    <row r="47" spans="1:20" s="1" customFormat="1" ht="3" customHeight="1" x14ac:dyDescent="0.25">
      <c r="A47" s="11"/>
      <c r="B47" s="62"/>
      <c r="C47" s="62"/>
      <c r="D47" s="165"/>
      <c r="E47" s="165"/>
      <c r="F47" s="11"/>
      <c r="G47" s="11"/>
      <c r="I47" s="11"/>
      <c r="K47" s="11"/>
      <c r="M47" s="11"/>
    </row>
    <row r="48" spans="1:20" x14ac:dyDescent="0.25">
      <c r="A48" s="5"/>
      <c r="B48" s="5"/>
      <c r="D48" s="5"/>
      <c r="F48" s="5"/>
    </row>
    <row r="49" spans="1:13" s="1" customFormat="1" ht="3" customHeight="1" x14ac:dyDescent="0.25">
      <c r="A49" s="11"/>
      <c r="B49" s="62"/>
      <c r="C49" s="62"/>
      <c r="D49" s="165"/>
      <c r="E49" s="165"/>
      <c r="F49" s="11"/>
      <c r="G49" s="11"/>
      <c r="I49" s="11"/>
      <c r="K49" s="11"/>
      <c r="M49" s="11"/>
    </row>
    <row r="50" spans="1:13" x14ac:dyDescent="0.25">
      <c r="A50" s="5"/>
      <c r="B50" s="5"/>
      <c r="D50" s="5"/>
      <c r="F50" s="5"/>
    </row>
    <row r="51" spans="1:13" s="1" customFormat="1" ht="3" customHeight="1" x14ac:dyDescent="0.25">
      <c r="A51" s="11"/>
      <c r="B51" s="62"/>
      <c r="C51" s="62"/>
      <c r="D51" s="165"/>
      <c r="E51" s="165"/>
      <c r="F51" s="11"/>
      <c r="G51" s="11"/>
      <c r="I51" s="11"/>
      <c r="K51" s="11"/>
      <c r="M51" s="11"/>
    </row>
    <row r="52" spans="1:13" x14ac:dyDescent="0.25">
      <c r="A52" s="5"/>
      <c r="B52" s="5"/>
      <c r="D52" s="5"/>
      <c r="F52" s="5"/>
    </row>
  </sheetData>
  <sheetProtection sheet="1" objects="1" scenarios="1" selectLockedCells="1"/>
  <mergeCells count="2">
    <mergeCell ref="B14:D14"/>
    <mergeCell ref="B28:D28"/>
  </mergeCells>
  <dataValidations xWindow="298" yWindow="438" count="12">
    <dataValidation allowBlank="1" showInputMessage="1" showErrorMessage="1" promptTitle="Caves" prompt="Caves can be used as defensive fallback points, storage, or even guard posts or prisons. A cave hex increases a kingdom’s Stability by 1." sqref="D18"/>
    <dataValidation allowBlank="1" showInputMessage="1" showErrorMessage="1" promptTitle="Landmarks" prompt="Landmarks are sites of great pride, mystery, and wonder. They serve well to bolster a kingdom’s morale. A landmark hex increases a kingdom’s Loyalty by 1." sqref="D22"/>
    <dataValidation allowBlank="1" showInputMessage="1" showErrorMessage="1" promptTitle="Roads" prompt="A hex with a road in it allows for much easier travel. For every four road hexes your kingdom controls, the kingdom’s Economy increases by 1. For every eight road hexes your kingdom controls, its Stability increases by 1." sqref="D24"/>
    <dataValidation allowBlank="1" showInputMessage="1" showErrorMessage="1" promptTitle="Resources" prompt="Resources include particularly valuable sources of lumber, metal, gems, food, or the like. A resource hex increases a kingdom’s Economy by 1." sqref="D26"/>
    <dataValidation allowBlank="1" showInputMessage="1" showErrorMessage="1" promptTitle="Farms" prompt="You can develop any grassland or hill hex that contains roads into farmlands to help sustain your kingdom’s Consumption. . Every farmland hex in your kingdom reduces your Consumption by 2 BP." sqref="D20"/>
    <dataValidation allowBlank="1" showInputMessage="1" showErrorMessage="1" promptTitle="Rivers" prompt="Like roads, rivers can be used for transport. For every 4 river hexes owned, gain +1 Economy. Rivers and roads can occupy the same hex." sqref="D30"/>
    <dataValidation allowBlank="1" showInputMessage="1" showErrorMessage="1" promptTitle="Lumber Camp (6 BP)" prompt="A logging camp can be built in a forest hex with a road or river. The Economy bonus is doubled if the hex contains specisl lumber._x000a__x000a_+1 Economy, +1 Stability" sqref="D32"/>
    <dataValidation allowBlank="1" showInputMessage="1" showErrorMessage="1" promptTitle="Rare Lumber Camp (6 BP)" prompt="Like a Lumber Camp, but contains rare resources._x000a__x000a_+2 Economy, +1 Stability" sqref="D34"/>
    <dataValidation allowBlank="1" showInputMessage="1" showErrorMessage="1" promptTitle="Fort (12 BP)" prompt="[Must be on Road or River, convets to Watchtower in new City]_x000a__x000a_A sturdy structure that serves as a guard post and lookout for danger._x000a__x000a_+1 Stability; +2 Defense Modifier; Unrest –1" sqref="D36"/>
    <dataValidation allowBlank="1" showInputMessage="1" showErrorMessage="1" promptTitle="Lock (8 BP)" prompt="[Must be in a River hex]_x000a__x000a_A lock allows ships to traverse along height differences in a river. A Lock turns three hexes of unnavigable rivers navigable and provides a +2 Economy bonus." sqref="D38"/>
    <dataValidation allowBlank="1" showInputMessage="1" showErrorMessage="1" promptTitle="Mine (6 BP)" prompt="A mine is used for recovering valuable or less valuables minerals, ores and gems. A mine can be built in hills or mountains if a road or river is present._x000a__x000a_+1 Economy, +1 Stability." sqref="D40"/>
    <dataValidation allowBlank="1" showInputMessage="1" showErrorMessage="1" promptTitle="Rare Ore Mine (6 BP)" prompt="As a Mine, but the Economy bonus is doubled if it contains a rare resource like silver or gold._x000a__x000a_+2 Economy, +1 Stability." sqref="D42"/>
  </dataValidations>
  <printOptions horizontalCentered="1" verticalCentered="1"/>
  <pageMargins left="0.70866141732283472" right="0.70866141732283472" top="0.74803149606299213" bottom="0.74803149606299213" header="0.31496062992125984" footer="0.31496062992125984"/>
  <pageSetup paperSize="9" orientation="portrait" r:id="rId1"/>
  <headerFooter>
    <oddHeader>&amp;CKingdom Hex Breakdown</oddHeader>
    <oddFooter>&amp;CPage &amp;P&amp;R&amp;D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R95"/>
  <sheetViews>
    <sheetView workbookViewId="0">
      <selection activeCell="B31" sqref="B31:D31"/>
    </sheetView>
  </sheetViews>
  <sheetFormatPr defaultRowHeight="15" x14ac:dyDescent="0.25"/>
  <cols>
    <col min="1" max="1" width="0.85546875" customWidth="1"/>
    <col min="2" max="2" width="18.7109375" customWidth="1"/>
    <col min="3" max="3" width="0.85546875" style="11" customWidth="1"/>
    <col min="4" max="4" width="10.7109375" customWidth="1"/>
    <col min="5" max="5" width="0.85546875" style="5" customWidth="1"/>
    <col min="6" max="6" width="8.28515625" customWidth="1"/>
    <col min="7" max="7" width="0.85546875" style="11" customWidth="1"/>
    <col min="8" max="8" width="10.7109375" style="11" customWidth="1"/>
    <col min="9" max="9" width="0.85546875" style="11" customWidth="1"/>
    <col min="10" max="10" width="4.7109375" style="11" customWidth="1"/>
    <col min="11" max="11" width="0.85546875" style="11" customWidth="1"/>
    <col min="12" max="12" width="5.7109375" style="11" customWidth="1"/>
    <col min="13" max="13" width="0.85546875" style="11" customWidth="1"/>
    <col min="15" max="15" width="0.85546875" customWidth="1"/>
    <col min="17" max="17" width="0.85546875" customWidth="1"/>
  </cols>
  <sheetData>
    <row r="1" spans="1:16" ht="5.0999999999999996" customHeight="1" thickBot="1" x14ac:dyDescent="0.3">
      <c r="A1" s="500"/>
      <c r="B1" s="501"/>
      <c r="C1" s="501"/>
      <c r="D1" s="501"/>
      <c r="E1" s="501"/>
      <c r="F1" s="501"/>
      <c r="G1" s="501"/>
      <c r="H1" s="501"/>
      <c r="I1" s="501"/>
      <c r="J1" s="501"/>
      <c r="K1" s="501"/>
      <c r="L1" s="501"/>
      <c r="M1" s="502"/>
      <c r="N1" s="130"/>
      <c r="O1" s="130"/>
      <c r="P1" s="130"/>
    </row>
    <row r="2" spans="1:16" ht="15.75" thickBot="1" x14ac:dyDescent="0.3">
      <c r="A2" s="480"/>
      <c r="B2" s="131" t="s">
        <v>83</v>
      </c>
      <c r="C2" s="132"/>
      <c r="D2" s="455"/>
      <c r="E2" s="372"/>
      <c r="F2" s="372"/>
      <c r="G2" s="372"/>
      <c r="H2" s="373"/>
      <c r="I2" s="111"/>
      <c r="J2" s="131" t="s">
        <v>187</v>
      </c>
      <c r="K2" s="97"/>
      <c r="L2" s="152">
        <f>IF(D4="Fine",(L25-8),(IF(D4="Dimunitive",(L25-6),(IF(D4="Tiny",(L25-4),(IF(D4="Small",(L25-2),(IF(D4="Medium",(L25),(IF(D4="Large",(L25+2),(IF(D4="Huge",(L25+4),(IF(D4="Gargantuan",(L25+6),(IF(D4="Colossal",(L25+8),0)))))))))))))))))</f>
        <v>0</v>
      </c>
      <c r="M2" s="497"/>
      <c r="N2" s="130"/>
      <c r="O2" s="130"/>
      <c r="P2" s="130"/>
    </row>
    <row r="3" spans="1:16" s="1" customFormat="1" ht="3" customHeight="1" thickBot="1" x14ac:dyDescent="0.3">
      <c r="A3" s="495"/>
      <c r="B3" s="132"/>
      <c r="C3" s="132"/>
      <c r="D3" s="133"/>
      <c r="E3" s="134"/>
      <c r="F3" s="132"/>
      <c r="G3" s="132"/>
      <c r="H3" s="132"/>
      <c r="I3" s="132"/>
      <c r="J3" s="132"/>
      <c r="K3" s="132"/>
      <c r="L3" s="134"/>
      <c r="M3" s="498"/>
      <c r="N3" s="135"/>
      <c r="O3" s="135"/>
      <c r="P3" s="135"/>
    </row>
    <row r="4" spans="1:16" ht="15.75" thickBot="1" x14ac:dyDescent="0.3">
      <c r="A4" s="495"/>
      <c r="B4" s="131" t="s">
        <v>43</v>
      </c>
      <c r="C4" s="132"/>
      <c r="D4" s="455"/>
      <c r="E4" s="372"/>
      <c r="F4" s="372"/>
      <c r="G4" s="136"/>
      <c r="H4" s="496" t="s">
        <v>255</v>
      </c>
      <c r="I4" s="495"/>
      <c r="J4" s="495"/>
      <c r="K4" s="134"/>
      <c r="L4" s="129"/>
      <c r="M4" s="498"/>
      <c r="N4" s="130"/>
      <c r="O4" s="130"/>
      <c r="P4" s="130"/>
    </row>
    <row r="5" spans="1:16" s="1" customFormat="1" ht="3" customHeight="1" x14ac:dyDescent="0.25">
      <c r="A5" s="495"/>
      <c r="B5" s="132"/>
      <c r="C5" s="132"/>
      <c r="D5" s="137"/>
      <c r="E5" s="137"/>
      <c r="F5" s="134"/>
      <c r="G5" s="134"/>
      <c r="H5" s="134"/>
      <c r="I5" s="134"/>
      <c r="J5" s="134"/>
      <c r="K5" s="134"/>
      <c r="L5" s="134"/>
      <c r="M5" s="498"/>
      <c r="N5" s="135"/>
      <c r="O5" s="135"/>
      <c r="P5" s="135"/>
    </row>
    <row r="6" spans="1:16" s="1" customFormat="1" ht="3" customHeight="1" x14ac:dyDescent="0.25">
      <c r="A6" s="495"/>
      <c r="B6" s="132"/>
      <c r="C6" s="132"/>
      <c r="D6" s="137"/>
      <c r="E6" s="137"/>
      <c r="F6" s="134"/>
      <c r="G6" s="134"/>
      <c r="H6" s="134"/>
      <c r="I6" s="134"/>
      <c r="J6" s="134"/>
      <c r="K6" s="134"/>
      <c r="L6" s="134"/>
      <c r="M6" s="498"/>
      <c r="N6" s="135"/>
      <c r="O6" s="135"/>
      <c r="P6" s="135"/>
    </row>
    <row r="7" spans="1:16" x14ac:dyDescent="0.25">
      <c r="A7" s="495"/>
      <c r="B7" s="408" t="s">
        <v>182</v>
      </c>
      <c r="C7" s="480"/>
      <c r="D7" s="480"/>
      <c r="E7" s="138"/>
      <c r="F7" s="408" t="s">
        <v>183</v>
      </c>
      <c r="G7" s="480"/>
      <c r="H7" s="480"/>
      <c r="I7" s="480"/>
      <c r="J7" s="480"/>
      <c r="K7" s="480"/>
      <c r="L7" s="480"/>
      <c r="M7" s="498"/>
      <c r="N7" s="130"/>
      <c r="O7" s="130"/>
      <c r="P7" s="130"/>
    </row>
    <row r="8" spans="1:16" ht="3" customHeight="1" thickBot="1" x14ac:dyDescent="0.3">
      <c r="A8" s="495"/>
      <c r="B8" s="139"/>
      <c r="C8" s="134"/>
      <c r="D8" s="139"/>
      <c r="E8" s="139"/>
      <c r="F8" s="139"/>
      <c r="G8" s="134"/>
      <c r="H8" s="134"/>
      <c r="I8" s="134"/>
      <c r="J8" s="134"/>
      <c r="K8" s="134"/>
      <c r="L8" s="134"/>
      <c r="M8" s="498"/>
      <c r="N8" s="130"/>
      <c r="O8" s="130"/>
      <c r="P8" s="130"/>
    </row>
    <row r="9" spans="1:16" ht="15.75" thickBot="1" x14ac:dyDescent="0.3">
      <c r="A9" s="495"/>
      <c r="B9" s="112" t="s">
        <v>185</v>
      </c>
      <c r="C9" s="140"/>
      <c r="D9" s="60">
        <f>ROUNDDOWN((L2*((J27+1)/2)),0)</f>
        <v>0</v>
      </c>
      <c r="E9" s="138"/>
      <c r="F9" s="479" t="s">
        <v>184</v>
      </c>
      <c r="G9" s="480"/>
      <c r="H9" s="480"/>
      <c r="I9" s="138"/>
      <c r="J9" s="391">
        <f>ROUNDDOWN(D27/15,0)</f>
        <v>0</v>
      </c>
      <c r="K9" s="392"/>
      <c r="L9" s="393"/>
      <c r="M9" s="498"/>
      <c r="N9" s="130"/>
      <c r="O9" s="130"/>
      <c r="P9" s="130"/>
    </row>
    <row r="10" spans="1:16" ht="3" customHeight="1" thickBot="1" x14ac:dyDescent="0.3">
      <c r="A10" s="495"/>
      <c r="B10" s="111"/>
      <c r="C10" s="134"/>
      <c r="D10" s="139"/>
      <c r="E10" s="139"/>
      <c r="F10" s="139"/>
      <c r="G10" s="134"/>
      <c r="H10" s="111"/>
      <c r="I10" s="134"/>
      <c r="J10" s="134"/>
      <c r="K10" s="134"/>
      <c r="L10" s="134"/>
      <c r="M10" s="498"/>
      <c r="N10" s="130"/>
      <c r="O10" s="130"/>
      <c r="P10" s="130"/>
    </row>
    <row r="11" spans="1:16" ht="15.75" thickBot="1" x14ac:dyDescent="0.3">
      <c r="A11" s="495"/>
      <c r="B11" s="112" t="s">
        <v>193</v>
      </c>
      <c r="C11" s="140"/>
      <c r="D11" s="60">
        <f>L2+L57+L72+L91</f>
        <v>0</v>
      </c>
      <c r="E11" s="138"/>
      <c r="F11" s="479" t="s">
        <v>63</v>
      </c>
      <c r="G11" s="480"/>
      <c r="H11" s="480"/>
      <c r="I11" s="138"/>
      <c r="J11" s="391">
        <f>IF(L2=0,0,IF(((L2/2)+R57+R72+R91)&lt;1,1,ROUNDUP(((L2/2)+R57+R72+R91),0)))</f>
        <v>0</v>
      </c>
      <c r="K11" s="392"/>
      <c r="L11" s="393"/>
      <c r="M11" s="498"/>
      <c r="N11" s="130"/>
      <c r="O11" s="130"/>
      <c r="P11" s="130"/>
    </row>
    <row r="12" spans="1:16" ht="3" customHeight="1" thickBot="1" x14ac:dyDescent="0.3">
      <c r="A12" s="495"/>
      <c r="B12" s="111"/>
      <c r="C12" s="134"/>
      <c r="D12" s="139"/>
      <c r="E12" s="139"/>
      <c r="F12" s="139"/>
      <c r="G12" s="134"/>
      <c r="H12" s="111"/>
      <c r="I12" s="134"/>
      <c r="J12" s="134"/>
      <c r="K12" s="134"/>
      <c r="L12" s="134"/>
      <c r="M12" s="498"/>
      <c r="N12" s="130"/>
      <c r="O12" s="130"/>
      <c r="P12" s="130"/>
    </row>
    <row r="13" spans="1:16" ht="15.75" thickBot="1" x14ac:dyDescent="0.3">
      <c r="A13" s="495"/>
      <c r="B13" s="112" t="s">
        <v>194</v>
      </c>
      <c r="C13" s="140"/>
      <c r="D13" s="60">
        <f>10+L2+N57+N72+N91</f>
        <v>10</v>
      </c>
      <c r="E13" s="138"/>
      <c r="F13" s="479" t="s">
        <v>269</v>
      </c>
      <c r="G13" s="480"/>
      <c r="H13" s="480"/>
      <c r="I13" s="138"/>
      <c r="J13" s="505">
        <v>0</v>
      </c>
      <c r="K13" s="506"/>
      <c r="L13" s="507"/>
      <c r="M13" s="498"/>
      <c r="N13" s="130"/>
      <c r="O13" s="130"/>
      <c r="P13" s="130"/>
    </row>
    <row r="14" spans="1:16" ht="3" customHeight="1" x14ac:dyDescent="0.25">
      <c r="A14" s="495"/>
      <c r="B14" s="139"/>
      <c r="C14" s="134"/>
      <c r="D14" s="139"/>
      <c r="E14" s="139"/>
      <c r="F14" s="139"/>
      <c r="G14" s="134"/>
      <c r="H14" s="134"/>
      <c r="I14" s="134"/>
      <c r="J14" s="134"/>
      <c r="K14" s="134"/>
      <c r="L14" s="134"/>
      <c r="M14" s="498"/>
      <c r="N14" s="130"/>
      <c r="O14" s="130"/>
      <c r="P14" s="130"/>
    </row>
    <row r="15" spans="1:16" x14ac:dyDescent="0.25">
      <c r="A15" s="495"/>
      <c r="B15" s="408" t="s">
        <v>186</v>
      </c>
      <c r="C15" s="480"/>
      <c r="D15" s="480"/>
      <c r="E15" s="138"/>
      <c r="F15" s="408" t="s">
        <v>56</v>
      </c>
      <c r="G15" s="480"/>
      <c r="H15" s="480"/>
      <c r="I15" s="480"/>
      <c r="J15" s="480"/>
      <c r="K15" s="480"/>
      <c r="L15" s="480"/>
      <c r="M15" s="498"/>
      <c r="N15" s="130"/>
      <c r="O15" s="130"/>
      <c r="P15" s="130"/>
    </row>
    <row r="16" spans="1:16" s="5" customFormat="1" ht="3" customHeight="1" thickBot="1" x14ac:dyDescent="0.3">
      <c r="A16" s="495"/>
      <c r="B16" s="141"/>
      <c r="C16" s="141"/>
      <c r="D16" s="141"/>
      <c r="E16" s="141"/>
      <c r="F16" s="141"/>
      <c r="G16" s="141"/>
      <c r="H16" s="141"/>
      <c r="I16" s="141"/>
      <c r="J16" s="141"/>
      <c r="K16" s="141"/>
      <c r="L16" s="141"/>
      <c r="M16" s="498"/>
      <c r="N16" s="139"/>
      <c r="O16" s="139"/>
      <c r="P16" s="139"/>
    </row>
    <row r="17" spans="1:16" s="5" customFormat="1" ht="15.75" thickBot="1" x14ac:dyDescent="0.3">
      <c r="A17" s="495"/>
      <c r="B17" s="481"/>
      <c r="C17" s="482"/>
      <c r="D17" s="483"/>
      <c r="E17" s="141"/>
      <c r="F17" s="481"/>
      <c r="G17" s="482"/>
      <c r="H17" s="482"/>
      <c r="I17" s="482"/>
      <c r="J17" s="482"/>
      <c r="K17" s="482"/>
      <c r="L17" s="483"/>
      <c r="M17" s="498"/>
      <c r="N17" s="139"/>
      <c r="O17" s="139"/>
      <c r="P17" s="139"/>
    </row>
    <row r="18" spans="1:16" s="5" customFormat="1" ht="3" customHeight="1" thickBot="1" x14ac:dyDescent="0.3">
      <c r="A18" s="495"/>
      <c r="B18" s="141"/>
      <c r="C18" s="141"/>
      <c r="D18" s="141"/>
      <c r="E18" s="141"/>
      <c r="F18" s="141"/>
      <c r="G18" s="141"/>
      <c r="H18" s="141"/>
      <c r="I18" s="141"/>
      <c r="J18" s="141"/>
      <c r="K18" s="141"/>
      <c r="L18" s="141"/>
      <c r="M18" s="498"/>
      <c r="N18" s="139"/>
      <c r="O18" s="139"/>
      <c r="P18" s="139"/>
    </row>
    <row r="19" spans="1:16" s="5" customFormat="1" ht="15.75" thickBot="1" x14ac:dyDescent="0.3">
      <c r="A19" s="495"/>
      <c r="B19" s="476"/>
      <c r="C19" s="477"/>
      <c r="D19" s="478"/>
      <c r="E19" s="141"/>
      <c r="F19" s="481"/>
      <c r="G19" s="482"/>
      <c r="H19" s="482"/>
      <c r="I19" s="482"/>
      <c r="J19" s="482"/>
      <c r="K19" s="482"/>
      <c r="L19" s="483"/>
      <c r="M19" s="498"/>
      <c r="N19" s="139"/>
      <c r="O19" s="139"/>
      <c r="P19" s="139"/>
    </row>
    <row r="20" spans="1:16" s="5" customFormat="1" ht="3" customHeight="1" thickBot="1" x14ac:dyDescent="0.3">
      <c r="A20" s="495"/>
      <c r="B20" s="141"/>
      <c r="C20" s="141"/>
      <c r="D20" s="141"/>
      <c r="E20" s="141"/>
      <c r="F20" s="141"/>
      <c r="G20" s="141"/>
      <c r="H20" s="141"/>
      <c r="I20" s="141"/>
      <c r="J20" s="141"/>
      <c r="K20" s="141"/>
      <c r="L20" s="141"/>
      <c r="M20" s="498"/>
      <c r="N20" s="139"/>
      <c r="O20" s="139"/>
      <c r="P20" s="139"/>
    </row>
    <row r="21" spans="1:16" s="5" customFormat="1" ht="15.75" thickBot="1" x14ac:dyDescent="0.3">
      <c r="A21" s="495"/>
      <c r="B21" s="476"/>
      <c r="C21" s="477"/>
      <c r="D21" s="478"/>
      <c r="E21" s="141"/>
      <c r="F21" s="481"/>
      <c r="G21" s="482"/>
      <c r="H21" s="482"/>
      <c r="I21" s="482"/>
      <c r="J21" s="482"/>
      <c r="K21" s="482"/>
      <c r="L21" s="483"/>
      <c r="M21" s="498"/>
      <c r="N21" s="139"/>
      <c r="O21" s="139"/>
      <c r="P21" s="139"/>
    </row>
    <row r="22" spans="1:16" s="5" customFormat="1" ht="3" customHeight="1" thickBot="1" x14ac:dyDescent="0.3">
      <c r="A22" s="495"/>
      <c r="B22" s="141"/>
      <c r="C22" s="141"/>
      <c r="D22" s="141"/>
      <c r="E22" s="141"/>
      <c r="F22" s="141"/>
      <c r="G22" s="141"/>
      <c r="H22" s="141"/>
      <c r="I22" s="141"/>
      <c r="J22" s="141"/>
      <c r="K22" s="141"/>
      <c r="L22" s="141"/>
      <c r="M22" s="498"/>
      <c r="N22" s="139"/>
      <c r="O22" s="139"/>
      <c r="P22" s="139"/>
    </row>
    <row r="23" spans="1:16" s="5" customFormat="1" ht="15.75" thickBot="1" x14ac:dyDescent="0.3">
      <c r="A23" s="495"/>
      <c r="B23" s="476"/>
      <c r="C23" s="477"/>
      <c r="D23" s="478"/>
      <c r="E23" s="141"/>
      <c r="F23" s="481"/>
      <c r="G23" s="482"/>
      <c r="H23" s="482"/>
      <c r="I23" s="482"/>
      <c r="J23" s="482"/>
      <c r="K23" s="482"/>
      <c r="L23" s="483"/>
      <c r="M23" s="498"/>
      <c r="N23" s="139"/>
      <c r="O23" s="139"/>
      <c r="P23" s="139"/>
    </row>
    <row r="24" spans="1:16" ht="3" customHeight="1" thickBot="1" x14ac:dyDescent="0.3">
      <c r="A24" s="495"/>
      <c r="B24" s="142"/>
      <c r="C24" s="143"/>
      <c r="D24" s="142"/>
      <c r="E24" s="142"/>
      <c r="F24" s="142"/>
      <c r="G24" s="143"/>
      <c r="H24" s="143"/>
      <c r="I24" s="134"/>
      <c r="J24" s="143"/>
      <c r="K24" s="134"/>
      <c r="L24" s="143"/>
      <c r="M24" s="498"/>
      <c r="N24" s="130"/>
      <c r="O24" s="130"/>
      <c r="P24" s="130"/>
    </row>
    <row r="25" spans="1:16" ht="15.75" thickBot="1" x14ac:dyDescent="0.3">
      <c r="A25" s="495"/>
      <c r="B25" s="131" t="s">
        <v>191</v>
      </c>
      <c r="C25" s="132"/>
      <c r="D25" s="455"/>
      <c r="E25" s="372"/>
      <c r="F25" s="372"/>
      <c r="G25" s="372"/>
      <c r="H25" s="373"/>
      <c r="I25" s="144"/>
      <c r="J25" s="131" t="s">
        <v>187</v>
      </c>
      <c r="K25" s="144"/>
      <c r="L25" s="102"/>
      <c r="M25" s="498"/>
      <c r="N25" s="130"/>
      <c r="O25" s="130"/>
      <c r="P25" s="130"/>
    </row>
    <row r="26" spans="1:16" ht="3" customHeight="1" thickBot="1" x14ac:dyDescent="0.3">
      <c r="A26" s="495"/>
      <c r="B26" s="139"/>
      <c r="C26" s="134"/>
      <c r="D26" s="139"/>
      <c r="E26" s="138"/>
      <c r="F26" s="139"/>
      <c r="G26" s="134"/>
      <c r="H26" s="134"/>
      <c r="I26" s="134"/>
      <c r="J26" s="145" t="s">
        <v>192</v>
      </c>
      <c r="K26" s="144"/>
      <c r="L26" s="146"/>
      <c r="M26" s="498"/>
      <c r="N26" s="130"/>
      <c r="O26" s="130"/>
      <c r="P26" s="130"/>
    </row>
    <row r="27" spans="1:16" ht="15.75" thickBot="1" x14ac:dyDescent="0.3">
      <c r="A27" s="495"/>
      <c r="B27" s="112" t="s">
        <v>184</v>
      </c>
      <c r="C27" s="140"/>
      <c r="D27" s="57"/>
      <c r="E27" s="138"/>
      <c r="F27" s="479" t="s">
        <v>205</v>
      </c>
      <c r="G27" s="480"/>
      <c r="H27" s="480"/>
      <c r="I27" s="138"/>
      <c r="J27" s="371"/>
      <c r="K27" s="372"/>
      <c r="L27" s="373"/>
      <c r="M27" s="498"/>
      <c r="N27" s="130"/>
      <c r="O27" s="130"/>
      <c r="P27" s="130"/>
    </row>
    <row r="28" spans="1:16" s="5" customFormat="1" ht="3" customHeight="1" x14ac:dyDescent="0.25">
      <c r="A28" s="495"/>
      <c r="B28" s="141"/>
      <c r="C28" s="141"/>
      <c r="D28" s="141">
        <v>50</v>
      </c>
      <c r="E28" s="141"/>
      <c r="F28" s="141"/>
      <c r="G28" s="141"/>
      <c r="H28" s="141"/>
      <c r="I28" s="141"/>
      <c r="J28" s="141"/>
      <c r="K28" s="141"/>
      <c r="L28" s="141"/>
      <c r="M28" s="498"/>
      <c r="N28" s="139"/>
      <c r="O28" s="139"/>
      <c r="P28" s="139"/>
    </row>
    <row r="29" spans="1:16" x14ac:dyDescent="0.25">
      <c r="A29" s="495"/>
      <c r="B29" s="408" t="s">
        <v>189</v>
      </c>
      <c r="C29" s="480"/>
      <c r="D29" s="480"/>
      <c r="E29" s="138"/>
      <c r="F29" s="408" t="s">
        <v>190</v>
      </c>
      <c r="G29" s="480"/>
      <c r="H29" s="480"/>
      <c r="I29" s="480"/>
      <c r="J29" s="480"/>
      <c r="K29" s="480"/>
      <c r="L29" s="480"/>
      <c r="M29" s="498"/>
      <c r="N29" s="130"/>
      <c r="O29" s="130"/>
      <c r="P29" s="130"/>
    </row>
    <row r="30" spans="1:16" s="5" customFormat="1" ht="3" customHeight="1" thickBot="1" x14ac:dyDescent="0.3">
      <c r="A30" s="495"/>
      <c r="B30" s="141"/>
      <c r="C30" s="141"/>
      <c r="D30" s="141"/>
      <c r="E30" s="141"/>
      <c r="F30" s="141"/>
      <c r="G30" s="141"/>
      <c r="H30" s="141"/>
      <c r="I30" s="141"/>
      <c r="J30" s="141"/>
      <c r="K30" s="141"/>
      <c r="L30" s="141"/>
      <c r="M30" s="498"/>
      <c r="N30" s="139"/>
      <c r="O30" s="139"/>
      <c r="P30" s="139"/>
    </row>
    <row r="31" spans="1:16" s="5" customFormat="1" ht="15.75" thickBot="1" x14ac:dyDescent="0.3">
      <c r="A31" s="495"/>
      <c r="B31" s="481"/>
      <c r="C31" s="482"/>
      <c r="D31" s="483"/>
      <c r="E31" s="141"/>
      <c r="F31" s="484"/>
      <c r="G31" s="485"/>
      <c r="H31" s="485"/>
      <c r="I31" s="485"/>
      <c r="J31" s="485"/>
      <c r="K31" s="485"/>
      <c r="L31" s="486"/>
      <c r="M31" s="498"/>
      <c r="N31" s="139"/>
      <c r="O31" s="139"/>
      <c r="P31" s="139"/>
    </row>
    <row r="32" spans="1:16" s="5" customFormat="1" ht="3" customHeight="1" thickBot="1" x14ac:dyDescent="0.3">
      <c r="A32" s="495"/>
      <c r="B32" s="141"/>
      <c r="C32" s="141"/>
      <c r="D32" s="141"/>
      <c r="E32" s="141"/>
      <c r="F32" s="487"/>
      <c r="G32" s="488"/>
      <c r="H32" s="488"/>
      <c r="I32" s="488"/>
      <c r="J32" s="488"/>
      <c r="K32" s="488"/>
      <c r="L32" s="489"/>
      <c r="M32" s="498"/>
      <c r="N32" s="139"/>
      <c r="O32" s="139"/>
      <c r="P32" s="139"/>
    </row>
    <row r="33" spans="1:18" s="5" customFormat="1" ht="15.75" thickBot="1" x14ac:dyDescent="0.3">
      <c r="A33" s="495"/>
      <c r="B33" s="481"/>
      <c r="C33" s="482"/>
      <c r="D33" s="483"/>
      <c r="E33" s="141"/>
      <c r="F33" s="487"/>
      <c r="G33" s="488"/>
      <c r="H33" s="488"/>
      <c r="I33" s="488"/>
      <c r="J33" s="488"/>
      <c r="K33" s="488"/>
      <c r="L33" s="489"/>
      <c r="M33" s="498"/>
      <c r="N33" s="139"/>
      <c r="O33" s="139"/>
      <c r="P33" s="139"/>
    </row>
    <row r="34" spans="1:18" s="5" customFormat="1" ht="3" customHeight="1" thickBot="1" x14ac:dyDescent="0.3">
      <c r="A34" s="495"/>
      <c r="B34" s="141"/>
      <c r="C34" s="141"/>
      <c r="D34" s="141"/>
      <c r="E34" s="141"/>
      <c r="F34" s="487"/>
      <c r="G34" s="488"/>
      <c r="H34" s="488"/>
      <c r="I34" s="488"/>
      <c r="J34" s="488"/>
      <c r="K34" s="488"/>
      <c r="L34" s="489"/>
      <c r="M34" s="498"/>
      <c r="N34" s="139"/>
      <c r="O34" s="139"/>
      <c r="P34" s="139"/>
    </row>
    <row r="35" spans="1:18" s="5" customFormat="1" ht="15.75" thickBot="1" x14ac:dyDescent="0.3">
      <c r="A35" s="495"/>
      <c r="B35" s="481"/>
      <c r="C35" s="482"/>
      <c r="D35" s="483"/>
      <c r="E35" s="141"/>
      <c r="F35" s="487"/>
      <c r="G35" s="488"/>
      <c r="H35" s="488"/>
      <c r="I35" s="488"/>
      <c r="J35" s="488"/>
      <c r="K35" s="488"/>
      <c r="L35" s="489"/>
      <c r="M35" s="498"/>
      <c r="N35" s="139"/>
      <c r="O35" s="139"/>
      <c r="P35" s="139"/>
    </row>
    <row r="36" spans="1:18" s="5" customFormat="1" ht="3" customHeight="1" thickBot="1" x14ac:dyDescent="0.3">
      <c r="A36" s="495"/>
      <c r="B36" s="147"/>
      <c r="C36" s="147"/>
      <c r="D36" s="147"/>
      <c r="E36" s="141"/>
      <c r="F36" s="487"/>
      <c r="G36" s="490"/>
      <c r="H36" s="490"/>
      <c r="I36" s="490"/>
      <c r="J36" s="490"/>
      <c r="K36" s="490"/>
      <c r="L36" s="489"/>
      <c r="M36" s="498"/>
      <c r="N36" s="139"/>
      <c r="O36" s="139"/>
      <c r="P36" s="139"/>
    </row>
    <row r="37" spans="1:18" s="5" customFormat="1" ht="15.75" thickBot="1" x14ac:dyDescent="0.3">
      <c r="A37" s="495"/>
      <c r="B37" s="481"/>
      <c r="C37" s="482"/>
      <c r="D37" s="483"/>
      <c r="E37" s="141"/>
      <c r="F37" s="491"/>
      <c r="G37" s="492"/>
      <c r="H37" s="492"/>
      <c r="I37" s="492"/>
      <c r="J37" s="492"/>
      <c r="K37" s="492"/>
      <c r="L37" s="493"/>
      <c r="M37" s="498"/>
      <c r="N37" s="139"/>
      <c r="O37" s="139"/>
      <c r="P37" s="139"/>
    </row>
    <row r="38" spans="1:18" s="5" customFormat="1" ht="3" customHeight="1" thickBot="1" x14ac:dyDescent="0.3">
      <c r="A38" s="495"/>
      <c r="B38" s="147"/>
      <c r="C38" s="147"/>
      <c r="D38" s="147"/>
      <c r="E38" s="141"/>
      <c r="F38" s="148"/>
      <c r="G38" s="148"/>
      <c r="H38" s="148"/>
      <c r="I38" s="148"/>
      <c r="J38" s="148"/>
      <c r="K38" s="148"/>
      <c r="L38" s="148"/>
      <c r="M38" s="498"/>
      <c r="N38" s="139"/>
      <c r="O38" s="139"/>
      <c r="P38" s="139"/>
    </row>
    <row r="39" spans="1:18" s="5" customFormat="1" ht="15.75" thickBot="1" x14ac:dyDescent="0.3">
      <c r="A39" s="495"/>
      <c r="B39" s="481"/>
      <c r="C39" s="482"/>
      <c r="D39" s="483"/>
      <c r="E39" s="141"/>
      <c r="F39" s="494" t="s">
        <v>256</v>
      </c>
      <c r="G39" s="495"/>
      <c r="H39" s="495"/>
      <c r="I39" s="495"/>
      <c r="J39" s="495"/>
      <c r="K39" s="148"/>
      <c r="L39" s="104"/>
      <c r="M39" s="498"/>
      <c r="N39" s="139"/>
      <c r="O39" s="139"/>
      <c r="P39" s="139"/>
    </row>
    <row r="40" spans="1:18" ht="3" customHeight="1" thickBot="1" x14ac:dyDescent="0.3">
      <c r="A40" s="503"/>
      <c r="B40" s="504"/>
      <c r="C40" s="504"/>
      <c r="D40" s="504"/>
      <c r="E40" s="504"/>
      <c r="F40" s="504"/>
      <c r="G40" s="504"/>
      <c r="H40" s="504"/>
      <c r="I40" s="504"/>
      <c r="J40" s="504"/>
      <c r="K40" s="504"/>
      <c r="L40" s="504"/>
      <c r="M40" s="499"/>
      <c r="N40" s="130"/>
      <c r="O40" s="130"/>
      <c r="P40" s="130"/>
    </row>
    <row r="41" spans="1:18" ht="3" hidden="1" customHeight="1" x14ac:dyDescent="0.25">
      <c r="A41" s="139"/>
      <c r="B41" s="139"/>
      <c r="C41" s="134"/>
      <c r="D41" s="139"/>
      <c r="E41" s="139"/>
      <c r="F41" s="139"/>
      <c r="G41" s="134"/>
      <c r="H41" s="134"/>
      <c r="I41" s="134"/>
      <c r="J41" s="134"/>
      <c r="K41" s="134"/>
      <c r="L41" s="134"/>
      <c r="M41" s="134"/>
      <c r="N41" s="130"/>
      <c r="O41" s="130"/>
      <c r="P41" s="130"/>
    </row>
    <row r="42" spans="1:18" ht="3" hidden="1" customHeight="1" x14ac:dyDescent="0.25">
      <c r="A42" s="139"/>
      <c r="B42" s="139"/>
      <c r="C42" s="134"/>
      <c r="D42" s="139"/>
      <c r="E42" s="139"/>
      <c r="F42" s="139"/>
      <c r="G42" s="134"/>
      <c r="H42" s="134"/>
      <c r="I42" s="134"/>
      <c r="J42" s="134"/>
      <c r="K42" s="134"/>
      <c r="L42" s="134"/>
      <c r="M42" s="134"/>
      <c r="N42" s="130"/>
      <c r="O42" s="130"/>
      <c r="P42" s="130"/>
    </row>
    <row r="43" spans="1:18" ht="15.75" hidden="1" thickBot="1" x14ac:dyDescent="0.3">
      <c r="A43" s="130"/>
      <c r="B43" s="130"/>
      <c r="C43" s="134"/>
      <c r="D43" s="130" t="s">
        <v>260</v>
      </c>
      <c r="E43" s="139"/>
      <c r="F43" s="130" t="s">
        <v>95</v>
      </c>
      <c r="G43" s="134"/>
      <c r="H43" s="134" t="s">
        <v>188</v>
      </c>
      <c r="I43" s="134"/>
      <c r="J43" s="134" t="s">
        <v>261</v>
      </c>
      <c r="K43" s="134"/>
      <c r="L43" s="130" t="s">
        <v>260</v>
      </c>
      <c r="M43" s="139"/>
      <c r="N43" s="130" t="s">
        <v>95</v>
      </c>
      <c r="O43" s="134"/>
      <c r="P43" s="134" t="s">
        <v>188</v>
      </c>
      <c r="Q43" s="11"/>
      <c r="R43" s="11" t="s">
        <v>261</v>
      </c>
    </row>
    <row r="44" spans="1:18" hidden="1" x14ac:dyDescent="0.25">
      <c r="A44" s="130"/>
      <c r="B44" s="149" t="s">
        <v>186</v>
      </c>
      <c r="C44" s="130"/>
      <c r="D44" s="130"/>
      <c r="E44" s="139"/>
      <c r="F44" s="130"/>
      <c r="G44" s="134"/>
      <c r="H44" s="134"/>
      <c r="I44" s="134"/>
      <c r="J44" s="134"/>
      <c r="K44" s="134"/>
      <c r="L44" s="130"/>
      <c r="M44" s="139"/>
      <c r="N44" s="130"/>
      <c r="O44" s="134"/>
      <c r="P44" s="134"/>
      <c r="Q44" s="11"/>
      <c r="R44" s="11"/>
    </row>
    <row r="45" spans="1:18" hidden="1" x14ac:dyDescent="0.25">
      <c r="A45" s="130"/>
      <c r="B45" s="150" t="s">
        <v>216</v>
      </c>
      <c r="C45" s="130"/>
      <c r="D45" s="130">
        <v>-2</v>
      </c>
      <c r="E45" s="139"/>
      <c r="F45" s="130"/>
      <c r="G45" s="134"/>
      <c r="H45" s="134">
        <v>2</v>
      </c>
      <c r="I45" s="134"/>
      <c r="J45" s="134"/>
      <c r="K45" s="134"/>
      <c r="L45" s="130">
        <f>IF($B$17=$B45,D45,0)</f>
        <v>0</v>
      </c>
      <c r="M45" s="139"/>
      <c r="N45" s="130">
        <f>IF($B$17=$B45,F45,0)</f>
        <v>0</v>
      </c>
      <c r="O45" s="134"/>
      <c r="P45" s="130">
        <f>IF($B$17=$B45,H45,0)</f>
        <v>0</v>
      </c>
      <c r="Q45" s="11"/>
      <c r="R45">
        <f>IF($B$17=$B45,J45,0)</f>
        <v>0</v>
      </c>
    </row>
    <row r="46" spans="1:18" hidden="1" x14ac:dyDescent="0.25">
      <c r="A46" s="130"/>
      <c r="B46" s="150" t="s">
        <v>217</v>
      </c>
      <c r="C46" s="130"/>
      <c r="D46" s="130"/>
      <c r="E46" s="139"/>
      <c r="F46" s="130"/>
      <c r="G46" s="134"/>
      <c r="H46" s="134"/>
      <c r="I46" s="134"/>
      <c r="J46" s="134"/>
      <c r="K46" s="134"/>
      <c r="L46" s="130">
        <f t="shared" ref="L46:L56" si="0">IF($B$17=B46,D46,0)</f>
        <v>0</v>
      </c>
      <c r="M46" s="139"/>
      <c r="N46" s="130">
        <f t="shared" ref="N46:R56" si="1">IF($B$17=$B46,F46,0)</f>
        <v>0</v>
      </c>
      <c r="O46" s="134"/>
      <c r="P46" s="130">
        <f t="shared" si="1"/>
        <v>0</v>
      </c>
      <c r="Q46" s="11"/>
      <c r="R46">
        <f t="shared" si="1"/>
        <v>0</v>
      </c>
    </row>
    <row r="47" spans="1:18" hidden="1" x14ac:dyDescent="0.25">
      <c r="A47" s="130"/>
      <c r="B47" s="150" t="s">
        <v>218</v>
      </c>
      <c r="C47" s="130"/>
      <c r="D47" s="130">
        <v>-2</v>
      </c>
      <c r="E47" s="139"/>
      <c r="F47" s="130">
        <v>2</v>
      </c>
      <c r="G47" s="134"/>
      <c r="H47" s="134"/>
      <c r="I47" s="134"/>
      <c r="J47" s="134"/>
      <c r="K47" s="134"/>
      <c r="L47" s="130">
        <f t="shared" si="0"/>
        <v>0</v>
      </c>
      <c r="M47" s="139"/>
      <c r="N47" s="130">
        <f t="shared" si="1"/>
        <v>0</v>
      </c>
      <c r="O47" s="134"/>
      <c r="P47" s="130">
        <f t="shared" si="1"/>
        <v>0</v>
      </c>
      <c r="Q47" s="11"/>
      <c r="R47">
        <f t="shared" si="1"/>
        <v>0</v>
      </c>
    </row>
    <row r="48" spans="1:18" hidden="1" x14ac:dyDescent="0.25">
      <c r="A48" s="130"/>
      <c r="B48" s="150" t="s">
        <v>219</v>
      </c>
      <c r="C48" s="130"/>
      <c r="D48" s="130"/>
      <c r="E48" s="139"/>
      <c r="F48" s="130"/>
      <c r="G48" s="134"/>
      <c r="H48" s="134"/>
      <c r="I48" s="134"/>
      <c r="J48" s="134"/>
      <c r="K48" s="134"/>
      <c r="L48" s="130">
        <f t="shared" si="0"/>
        <v>0</v>
      </c>
      <c r="M48" s="139"/>
      <c r="N48" s="130">
        <f t="shared" si="1"/>
        <v>0</v>
      </c>
      <c r="O48" s="134"/>
      <c r="P48" s="130">
        <f t="shared" si="1"/>
        <v>0</v>
      </c>
      <c r="Q48" s="11"/>
      <c r="R48">
        <f t="shared" si="1"/>
        <v>0</v>
      </c>
    </row>
    <row r="49" spans="1:18" hidden="1" x14ac:dyDescent="0.25">
      <c r="A49" s="130"/>
      <c r="B49" s="150" t="s">
        <v>220</v>
      </c>
      <c r="C49" s="130"/>
      <c r="D49" s="130">
        <v>2</v>
      </c>
      <c r="E49" s="139"/>
      <c r="F49" s="130">
        <v>-2</v>
      </c>
      <c r="G49" s="134"/>
      <c r="H49" s="134"/>
      <c r="I49" s="134"/>
      <c r="J49" s="134"/>
      <c r="K49" s="134"/>
      <c r="L49" s="130">
        <f t="shared" si="0"/>
        <v>0</v>
      </c>
      <c r="M49" s="139"/>
      <c r="N49" s="130">
        <f t="shared" si="1"/>
        <v>0</v>
      </c>
      <c r="O49" s="134"/>
      <c r="P49" s="130">
        <f t="shared" si="1"/>
        <v>0</v>
      </c>
      <c r="Q49" s="11"/>
      <c r="R49">
        <f t="shared" si="1"/>
        <v>0</v>
      </c>
    </row>
    <row r="50" spans="1:18" hidden="1" x14ac:dyDescent="0.25">
      <c r="A50" s="130"/>
      <c r="B50" s="150" t="s">
        <v>221</v>
      </c>
      <c r="C50" s="130"/>
      <c r="D50" s="130"/>
      <c r="E50" s="139"/>
      <c r="F50" s="130"/>
      <c r="G50" s="134"/>
      <c r="H50" s="134"/>
      <c r="I50" s="134"/>
      <c r="J50" s="134"/>
      <c r="K50" s="134"/>
      <c r="L50" s="130">
        <f t="shared" si="0"/>
        <v>0</v>
      </c>
      <c r="M50" s="139"/>
      <c r="N50" s="130">
        <f t="shared" si="1"/>
        <v>0</v>
      </c>
      <c r="O50" s="134"/>
      <c r="P50" s="130">
        <f t="shared" si="1"/>
        <v>0</v>
      </c>
      <c r="Q50" s="11"/>
      <c r="R50">
        <f t="shared" si="1"/>
        <v>0</v>
      </c>
    </row>
    <row r="51" spans="1:18" hidden="1" x14ac:dyDescent="0.25">
      <c r="A51" s="130"/>
      <c r="B51" s="150" t="s">
        <v>222</v>
      </c>
      <c r="C51" s="130"/>
      <c r="D51" s="130">
        <v>-4</v>
      </c>
      <c r="E51" s="139"/>
      <c r="F51" s="130">
        <v>4</v>
      </c>
      <c r="G51" s="134"/>
      <c r="H51" s="134"/>
      <c r="I51" s="134"/>
      <c r="J51" s="134"/>
      <c r="K51" s="134"/>
      <c r="L51" s="130">
        <f t="shared" si="0"/>
        <v>0</v>
      </c>
      <c r="M51" s="139"/>
      <c r="N51" s="130">
        <f t="shared" si="1"/>
        <v>0</v>
      </c>
      <c r="O51" s="134"/>
      <c r="P51" s="130">
        <f t="shared" si="1"/>
        <v>0</v>
      </c>
      <c r="Q51" s="11"/>
      <c r="R51">
        <f t="shared" si="1"/>
        <v>0</v>
      </c>
    </row>
    <row r="52" spans="1:18" hidden="1" x14ac:dyDescent="0.25">
      <c r="A52" s="130"/>
      <c r="B52" s="150" t="s">
        <v>223</v>
      </c>
      <c r="C52" s="130"/>
      <c r="D52" s="130">
        <v>4</v>
      </c>
      <c r="E52" s="139"/>
      <c r="F52" s="130">
        <v>-4</v>
      </c>
      <c r="G52" s="134"/>
      <c r="H52" s="134"/>
      <c r="I52" s="134"/>
      <c r="J52" s="134"/>
      <c r="K52" s="134"/>
      <c r="L52" s="130">
        <f t="shared" si="0"/>
        <v>0</v>
      </c>
      <c r="M52" s="139"/>
      <c r="N52" s="130">
        <f t="shared" si="1"/>
        <v>0</v>
      </c>
      <c r="O52" s="134"/>
      <c r="P52" s="130">
        <f t="shared" si="1"/>
        <v>0</v>
      </c>
      <c r="Q52" s="11"/>
      <c r="R52">
        <f t="shared" si="1"/>
        <v>0</v>
      </c>
    </row>
    <row r="53" spans="1:18" hidden="1" x14ac:dyDescent="0.25">
      <c r="A53" s="130"/>
      <c r="B53" s="150" t="s">
        <v>262</v>
      </c>
      <c r="C53" s="130"/>
      <c r="D53" s="130"/>
      <c r="E53" s="139"/>
      <c r="F53" s="130"/>
      <c r="G53" s="134"/>
      <c r="H53" s="134"/>
      <c r="I53" s="134"/>
      <c r="J53" s="134"/>
      <c r="K53" s="134"/>
      <c r="L53" s="130">
        <f t="shared" si="0"/>
        <v>0</v>
      </c>
      <c r="M53" s="134"/>
      <c r="N53" s="130">
        <f t="shared" si="1"/>
        <v>0</v>
      </c>
      <c r="O53" s="130"/>
      <c r="P53" s="130">
        <f t="shared" si="1"/>
        <v>0</v>
      </c>
      <c r="R53">
        <f t="shared" si="1"/>
        <v>0</v>
      </c>
    </row>
    <row r="54" spans="1:18" hidden="1" x14ac:dyDescent="0.25">
      <c r="A54" s="130"/>
      <c r="B54" s="150" t="s">
        <v>225</v>
      </c>
      <c r="C54" s="130"/>
      <c r="D54" s="130"/>
      <c r="E54" s="139"/>
      <c r="F54" s="130"/>
      <c r="G54" s="134"/>
      <c r="H54" s="134"/>
      <c r="I54" s="134"/>
      <c r="J54" s="134"/>
      <c r="K54" s="134"/>
      <c r="L54" s="130">
        <f t="shared" si="0"/>
        <v>0</v>
      </c>
      <c r="M54" s="134"/>
      <c r="N54" s="130">
        <f t="shared" si="1"/>
        <v>0</v>
      </c>
      <c r="O54" s="130"/>
      <c r="P54" s="130">
        <f t="shared" si="1"/>
        <v>0</v>
      </c>
      <c r="R54">
        <f t="shared" si="1"/>
        <v>0</v>
      </c>
    </row>
    <row r="55" spans="1:18" hidden="1" x14ac:dyDescent="0.25">
      <c r="A55" s="130"/>
      <c r="B55" s="150" t="s">
        <v>226</v>
      </c>
      <c r="C55" s="130"/>
      <c r="D55" s="130"/>
      <c r="E55" s="139"/>
      <c r="F55" s="130"/>
      <c r="G55" s="134"/>
      <c r="H55" s="134"/>
      <c r="I55" s="134"/>
      <c r="J55" s="134"/>
      <c r="K55" s="134"/>
      <c r="L55" s="130">
        <f t="shared" si="0"/>
        <v>0</v>
      </c>
      <c r="M55" s="134"/>
      <c r="N55" s="130">
        <f t="shared" si="1"/>
        <v>0</v>
      </c>
      <c r="O55" s="130"/>
      <c r="P55" s="130">
        <f t="shared" si="1"/>
        <v>0</v>
      </c>
      <c r="R55">
        <f t="shared" si="1"/>
        <v>0</v>
      </c>
    </row>
    <row r="56" spans="1:18" ht="15.75" hidden="1" thickBot="1" x14ac:dyDescent="0.3">
      <c r="A56" s="130"/>
      <c r="B56" s="151" t="s">
        <v>227</v>
      </c>
      <c r="C56" s="130"/>
      <c r="D56" s="130"/>
      <c r="E56" s="139"/>
      <c r="F56" s="130"/>
      <c r="G56" s="134"/>
      <c r="H56" s="134"/>
      <c r="I56" s="134"/>
      <c r="J56" s="134"/>
      <c r="K56" s="134"/>
      <c r="L56" s="130">
        <f t="shared" si="0"/>
        <v>0</v>
      </c>
      <c r="M56" s="134"/>
      <c r="N56" s="130">
        <f t="shared" si="1"/>
        <v>0</v>
      </c>
      <c r="O56" s="130"/>
      <c r="P56" s="130">
        <f t="shared" si="1"/>
        <v>0</v>
      </c>
      <c r="R56">
        <f t="shared" si="1"/>
        <v>0</v>
      </c>
    </row>
    <row r="57" spans="1:18" ht="15.75" hidden="1" thickBot="1" x14ac:dyDescent="0.3">
      <c r="A57" s="130"/>
      <c r="B57" s="130"/>
      <c r="C57" s="130"/>
      <c r="D57" s="130"/>
      <c r="E57" s="139"/>
      <c r="F57" s="130"/>
      <c r="G57" s="134"/>
      <c r="H57" s="134"/>
      <c r="I57" s="134"/>
      <c r="J57" s="134"/>
      <c r="K57" s="134"/>
      <c r="L57" s="134">
        <f>SUM(L45:L56)</f>
        <v>0</v>
      </c>
      <c r="M57" s="134"/>
      <c r="N57" s="134">
        <f>SUM(N45:N56)</f>
        <v>0</v>
      </c>
      <c r="O57" s="130"/>
      <c r="P57" s="134">
        <f>SUM(P45:P56)</f>
        <v>0</v>
      </c>
      <c r="R57" s="11">
        <f>SUM(R45:R56)</f>
        <v>0</v>
      </c>
    </row>
    <row r="58" spans="1:18" hidden="1" x14ac:dyDescent="0.25">
      <c r="A58" s="130"/>
      <c r="B58" s="149" t="s">
        <v>56</v>
      </c>
      <c r="C58" s="130"/>
      <c r="D58" s="130"/>
      <c r="E58" s="139"/>
      <c r="F58" s="130"/>
      <c r="G58" s="134"/>
      <c r="H58" s="134"/>
      <c r="I58" s="134"/>
      <c r="J58" s="134"/>
      <c r="K58" s="134"/>
      <c r="L58" s="134"/>
      <c r="M58" s="134"/>
      <c r="N58" s="130"/>
      <c r="O58" s="130"/>
      <c r="P58" s="130"/>
    </row>
    <row r="59" spans="1:18" hidden="1" x14ac:dyDescent="0.25">
      <c r="A59" s="130"/>
      <c r="B59" s="150" t="s">
        <v>263</v>
      </c>
      <c r="C59" s="130"/>
      <c r="D59" s="130">
        <v>2</v>
      </c>
      <c r="E59" s="139"/>
      <c r="F59" s="130">
        <v>2</v>
      </c>
      <c r="G59" s="134"/>
      <c r="H59" s="134"/>
      <c r="I59" s="134"/>
      <c r="J59" s="134">
        <v>1</v>
      </c>
      <c r="K59" s="134"/>
      <c r="L59" s="130">
        <f>IF(OR($F$17=$B59,$F$19=$B59,$F$21=$B59,$F$23=$B59)=TRUE,D59,0)</f>
        <v>0</v>
      </c>
      <c r="M59" s="134"/>
      <c r="N59" s="130">
        <f>IF(OR($F$17=$B59,$F$19=$B59,$F$21=$B59,$F$23=$B59)=TRUE,F59,0)</f>
        <v>0</v>
      </c>
      <c r="O59" s="130"/>
      <c r="P59" s="130">
        <f>IF(OR($F$17=$B59,$F$19=$B59,$F$21=$B59,$F$23=$B59)=TRUE,H59,0)</f>
        <v>0</v>
      </c>
      <c r="R59">
        <f>IF(OR($F$17=$B59,$F$19=$B59,$F$21=$B59,$F$23=$B59)=TRUE,J59,0)</f>
        <v>0</v>
      </c>
    </row>
    <row r="60" spans="1:18" hidden="1" x14ac:dyDescent="0.25">
      <c r="A60" s="130"/>
      <c r="B60" s="150" t="s">
        <v>264</v>
      </c>
      <c r="C60" s="130"/>
      <c r="D60" s="130">
        <v>2</v>
      </c>
      <c r="E60" s="139"/>
      <c r="F60" s="130">
        <v>2</v>
      </c>
      <c r="G60" s="134"/>
      <c r="H60" s="134"/>
      <c r="I60" s="134"/>
      <c r="J60" s="134">
        <v>2</v>
      </c>
      <c r="K60" s="134"/>
      <c r="L60" s="130">
        <f t="shared" ref="L60:R71" si="2">IF(OR($F$17=$B60,$F$19=$B60,$F$21=$B60,$F$23=$B60)=TRUE,D60,0)</f>
        <v>0</v>
      </c>
      <c r="M60" s="134"/>
      <c r="N60" s="130">
        <f t="shared" si="2"/>
        <v>0</v>
      </c>
      <c r="O60" s="130"/>
      <c r="P60" s="130">
        <f t="shared" si="2"/>
        <v>0</v>
      </c>
      <c r="R60">
        <f t="shared" si="2"/>
        <v>0</v>
      </c>
    </row>
    <row r="61" spans="1:18" hidden="1" x14ac:dyDescent="0.25">
      <c r="A61" s="130"/>
      <c r="B61" s="150" t="s">
        <v>265</v>
      </c>
      <c r="C61" s="130"/>
      <c r="D61" s="130">
        <v>2</v>
      </c>
      <c r="E61" s="139"/>
      <c r="F61" s="130">
        <v>2</v>
      </c>
      <c r="G61" s="134"/>
      <c r="H61" s="134"/>
      <c r="I61" s="134"/>
      <c r="J61" s="134">
        <v>3</v>
      </c>
      <c r="K61" s="134"/>
      <c r="L61" s="130">
        <f t="shared" si="2"/>
        <v>0</v>
      </c>
      <c r="M61" s="134"/>
      <c r="N61" s="130">
        <f t="shared" si="2"/>
        <v>0</v>
      </c>
      <c r="O61" s="130"/>
      <c r="P61" s="130">
        <f t="shared" si="2"/>
        <v>0</v>
      </c>
      <c r="R61">
        <f t="shared" si="2"/>
        <v>0</v>
      </c>
    </row>
    <row r="62" spans="1:18" hidden="1" x14ac:dyDescent="0.25">
      <c r="A62" s="130"/>
      <c r="B62" s="150" t="s">
        <v>266</v>
      </c>
      <c r="C62" s="130"/>
      <c r="D62" s="130">
        <v>2</v>
      </c>
      <c r="E62" s="139"/>
      <c r="F62" s="130">
        <v>2</v>
      </c>
      <c r="G62" s="134"/>
      <c r="H62" s="134"/>
      <c r="I62" s="134"/>
      <c r="J62" s="134">
        <v>4</v>
      </c>
      <c r="K62" s="134"/>
      <c r="L62" s="130">
        <f t="shared" si="2"/>
        <v>0</v>
      </c>
      <c r="M62" s="134"/>
      <c r="N62" s="130">
        <f t="shared" si="2"/>
        <v>0</v>
      </c>
      <c r="O62" s="130"/>
      <c r="P62" s="130">
        <f t="shared" si="2"/>
        <v>0</v>
      </c>
      <c r="R62">
        <f t="shared" si="2"/>
        <v>0</v>
      </c>
    </row>
    <row r="63" spans="1:18" hidden="1" x14ac:dyDescent="0.25">
      <c r="A63" s="130"/>
      <c r="B63" s="150" t="s">
        <v>267</v>
      </c>
      <c r="C63" s="130"/>
      <c r="D63" s="130">
        <v>2</v>
      </c>
      <c r="E63" s="139"/>
      <c r="F63" s="130">
        <v>2</v>
      </c>
      <c r="G63" s="134"/>
      <c r="H63" s="134"/>
      <c r="I63" s="134"/>
      <c r="J63" s="134">
        <v>5</v>
      </c>
      <c r="K63" s="134"/>
      <c r="L63" s="130">
        <f t="shared" si="2"/>
        <v>0</v>
      </c>
      <c r="M63" s="134"/>
      <c r="N63" s="130">
        <f t="shared" si="2"/>
        <v>0</v>
      </c>
      <c r="O63" s="130"/>
      <c r="P63" s="130">
        <f t="shared" si="2"/>
        <v>0</v>
      </c>
      <c r="R63">
        <f t="shared" si="2"/>
        <v>0</v>
      </c>
    </row>
    <row r="64" spans="1:18" hidden="1" x14ac:dyDescent="0.25">
      <c r="A64" s="130"/>
      <c r="B64" s="150" t="s">
        <v>228</v>
      </c>
      <c r="C64" s="130"/>
      <c r="D64" s="130">
        <v>1</v>
      </c>
      <c r="E64" s="139"/>
      <c r="F64" s="130"/>
      <c r="G64" s="134"/>
      <c r="H64" s="134"/>
      <c r="I64" s="134"/>
      <c r="J64" s="134">
        <v>5</v>
      </c>
      <c r="K64" s="134"/>
      <c r="L64" s="130">
        <f t="shared" si="2"/>
        <v>0</v>
      </c>
      <c r="M64" s="134"/>
      <c r="N64" s="130">
        <f t="shared" si="2"/>
        <v>0</v>
      </c>
      <c r="O64" s="130"/>
      <c r="P64" s="130">
        <f t="shared" si="2"/>
        <v>0</v>
      </c>
      <c r="R64">
        <f t="shared" si="2"/>
        <v>0</v>
      </c>
    </row>
    <row r="65" spans="1:18" hidden="1" x14ac:dyDescent="0.25">
      <c r="A65" s="130"/>
      <c r="B65" s="150" t="s">
        <v>229</v>
      </c>
      <c r="C65" s="130"/>
      <c r="D65" s="130">
        <v>2</v>
      </c>
      <c r="E65" s="139"/>
      <c r="F65" s="130"/>
      <c r="G65" s="134"/>
      <c r="H65" s="134"/>
      <c r="I65" s="134"/>
      <c r="J65" s="134">
        <v>50</v>
      </c>
      <c r="K65" s="134"/>
      <c r="L65" s="130">
        <f t="shared" si="2"/>
        <v>0</v>
      </c>
      <c r="M65" s="134"/>
      <c r="N65" s="130">
        <f t="shared" si="2"/>
        <v>0</v>
      </c>
      <c r="O65" s="130"/>
      <c r="P65" s="130">
        <f t="shared" si="2"/>
        <v>0</v>
      </c>
      <c r="R65">
        <f t="shared" si="2"/>
        <v>0</v>
      </c>
    </row>
    <row r="66" spans="1:18" hidden="1" x14ac:dyDescent="0.25">
      <c r="A66" s="130"/>
      <c r="B66" s="150" t="s">
        <v>230</v>
      </c>
      <c r="C66" s="130"/>
      <c r="D66" s="130"/>
      <c r="E66" s="139"/>
      <c r="F66" s="130">
        <v>1</v>
      </c>
      <c r="G66" s="134"/>
      <c r="H66" s="134"/>
      <c r="I66" s="134"/>
      <c r="J66" s="134">
        <v>3</v>
      </c>
      <c r="K66" s="134"/>
      <c r="L66" s="130">
        <f t="shared" si="2"/>
        <v>0</v>
      </c>
      <c r="M66" s="134"/>
      <c r="N66" s="130">
        <f t="shared" si="2"/>
        <v>0</v>
      </c>
      <c r="O66" s="130"/>
      <c r="P66" s="130">
        <f t="shared" si="2"/>
        <v>0</v>
      </c>
      <c r="R66">
        <f t="shared" si="2"/>
        <v>0</v>
      </c>
    </row>
    <row r="67" spans="1:18" hidden="1" x14ac:dyDescent="0.25">
      <c r="A67" s="130"/>
      <c r="B67" s="150" t="s">
        <v>231</v>
      </c>
      <c r="C67" s="130"/>
      <c r="D67" s="130"/>
      <c r="E67" s="139"/>
      <c r="F67" s="130">
        <v>2</v>
      </c>
      <c r="G67" s="134"/>
      <c r="H67" s="134"/>
      <c r="I67" s="134"/>
      <c r="J67" s="134">
        <v>15</v>
      </c>
      <c r="K67" s="134"/>
      <c r="L67" s="130">
        <f t="shared" si="2"/>
        <v>0</v>
      </c>
      <c r="M67" s="134"/>
      <c r="N67" s="130">
        <f t="shared" si="2"/>
        <v>0</v>
      </c>
      <c r="O67" s="130"/>
      <c r="P67" s="130">
        <f t="shared" si="2"/>
        <v>0</v>
      </c>
      <c r="R67">
        <f t="shared" si="2"/>
        <v>0</v>
      </c>
    </row>
    <row r="68" spans="1:18" hidden="1" x14ac:dyDescent="0.25">
      <c r="A68" s="130"/>
      <c r="B68" s="150" t="s">
        <v>232</v>
      </c>
      <c r="C68" s="130"/>
      <c r="D68" s="130"/>
      <c r="E68" s="139"/>
      <c r="F68" s="130"/>
      <c r="G68" s="134"/>
      <c r="H68" s="134"/>
      <c r="I68" s="134"/>
      <c r="J68" s="134">
        <v>10</v>
      </c>
      <c r="K68" s="134"/>
      <c r="L68" s="130">
        <f t="shared" si="2"/>
        <v>0</v>
      </c>
      <c r="M68" s="134"/>
      <c r="N68" s="130">
        <f t="shared" si="2"/>
        <v>0</v>
      </c>
      <c r="O68" s="130"/>
      <c r="P68" s="130">
        <f t="shared" si="2"/>
        <v>0</v>
      </c>
      <c r="R68">
        <f t="shared" si="2"/>
        <v>0</v>
      </c>
    </row>
    <row r="69" spans="1:18" hidden="1" x14ac:dyDescent="0.25">
      <c r="A69" s="130"/>
      <c r="B69" s="150" t="s">
        <v>233</v>
      </c>
      <c r="C69" s="130"/>
      <c r="D69" s="130"/>
      <c r="E69" s="139"/>
      <c r="F69" s="130"/>
      <c r="G69" s="134"/>
      <c r="H69" s="134"/>
      <c r="I69" s="134"/>
      <c r="J69" s="134">
        <v>2</v>
      </c>
      <c r="K69" s="134"/>
      <c r="L69" s="130">
        <f t="shared" si="2"/>
        <v>0</v>
      </c>
      <c r="M69" s="134"/>
      <c r="N69" s="130">
        <f t="shared" si="2"/>
        <v>0</v>
      </c>
      <c r="O69" s="130"/>
      <c r="P69" s="130">
        <f t="shared" si="2"/>
        <v>0</v>
      </c>
      <c r="R69">
        <f t="shared" si="2"/>
        <v>0</v>
      </c>
    </row>
    <row r="70" spans="1:18" hidden="1" x14ac:dyDescent="0.25">
      <c r="A70" s="130"/>
      <c r="B70" s="150" t="s">
        <v>234</v>
      </c>
      <c r="C70" s="130"/>
      <c r="D70" s="130"/>
      <c r="E70" s="139"/>
      <c r="F70" s="130"/>
      <c r="G70" s="134"/>
      <c r="H70" s="134"/>
      <c r="I70" s="134"/>
      <c r="J70" s="134">
        <v>15</v>
      </c>
      <c r="K70" s="134"/>
      <c r="L70" s="130">
        <f t="shared" si="2"/>
        <v>0</v>
      </c>
      <c r="M70" s="134"/>
      <c r="N70" s="130">
        <f t="shared" si="2"/>
        <v>0</v>
      </c>
      <c r="O70" s="130"/>
      <c r="P70" s="130">
        <f t="shared" si="2"/>
        <v>0</v>
      </c>
      <c r="R70">
        <f t="shared" si="2"/>
        <v>0</v>
      </c>
    </row>
    <row r="71" spans="1:18" ht="15.75" hidden="1" thickBot="1" x14ac:dyDescent="0.3">
      <c r="A71" s="130"/>
      <c r="B71" s="151" t="s">
        <v>253</v>
      </c>
      <c r="C71" s="130"/>
      <c r="D71" s="130"/>
      <c r="E71" s="139"/>
      <c r="F71" s="130"/>
      <c r="G71" s="134"/>
      <c r="H71" s="134"/>
      <c r="I71" s="134"/>
      <c r="J71" s="134">
        <v>10</v>
      </c>
      <c r="K71" s="134"/>
      <c r="L71" s="130">
        <f t="shared" si="2"/>
        <v>0</v>
      </c>
      <c r="M71" s="134"/>
      <c r="N71" s="130">
        <f t="shared" si="2"/>
        <v>0</v>
      </c>
      <c r="O71" s="130"/>
      <c r="P71" s="130">
        <f t="shared" si="2"/>
        <v>0</v>
      </c>
      <c r="R71">
        <f t="shared" si="2"/>
        <v>0</v>
      </c>
    </row>
    <row r="72" spans="1:18" ht="15.75" hidden="1" thickBot="1" x14ac:dyDescent="0.3">
      <c r="A72" s="130"/>
      <c r="B72" s="130"/>
      <c r="C72" s="130"/>
      <c r="D72" s="130"/>
      <c r="E72" s="139"/>
      <c r="F72" s="130"/>
      <c r="G72" s="134"/>
      <c r="H72" s="134"/>
      <c r="I72" s="134"/>
      <c r="J72" s="134"/>
      <c r="K72" s="134"/>
      <c r="L72" s="134">
        <f>SUM(L59:L71)</f>
        <v>0</v>
      </c>
      <c r="M72" s="134"/>
      <c r="N72" s="134">
        <f>SUM(N59:N71)</f>
        <v>0</v>
      </c>
      <c r="O72" s="130"/>
      <c r="P72" s="134">
        <f>SUM(P59:P71)</f>
        <v>0</v>
      </c>
      <c r="R72" s="11">
        <f>SUM(R59:R71)</f>
        <v>0</v>
      </c>
    </row>
    <row r="73" spans="1:18" hidden="1" x14ac:dyDescent="0.25">
      <c r="A73" s="130"/>
      <c r="B73" s="149" t="s">
        <v>235</v>
      </c>
      <c r="C73" s="130"/>
      <c r="D73" s="130"/>
      <c r="E73" s="139"/>
      <c r="F73" s="130"/>
      <c r="G73" s="134"/>
      <c r="H73" s="134"/>
      <c r="I73" s="134"/>
      <c r="J73" s="134"/>
      <c r="K73" s="134"/>
      <c r="L73" s="130"/>
      <c r="M73" s="134"/>
      <c r="N73" s="130"/>
      <c r="O73" s="130"/>
      <c r="P73" s="130"/>
    </row>
    <row r="74" spans="1:18" hidden="1" x14ac:dyDescent="0.25">
      <c r="A74" s="130"/>
      <c r="B74" s="150" t="s">
        <v>236</v>
      </c>
      <c r="C74" s="130"/>
      <c r="D74" s="130"/>
      <c r="E74" s="139"/>
      <c r="F74" s="130"/>
      <c r="G74" s="134"/>
      <c r="H74" s="134"/>
      <c r="I74" s="134"/>
      <c r="J74" s="134"/>
      <c r="K74" s="134"/>
      <c r="L74" s="130">
        <f>IF(OR($B$31=$B74,$B$33=$B74,$B$35=$B74,$B$35=$B74,$B$37=$B74,$B$39=$B74)=TRUE,D74,0)</f>
        <v>0</v>
      </c>
      <c r="M74" s="134"/>
      <c r="N74" s="130">
        <f t="shared" ref="N74:N90" si="3">IF(OR($B$31=$B74,$B$33=$B74,$B$35=$B74,$B$35=$B74,$B$37=$B74,$B$39=$B74)=TRUE,F74,0)</f>
        <v>0</v>
      </c>
      <c r="O74" s="130"/>
      <c r="P74" s="130">
        <f t="shared" ref="P74:P90" si="4">IF(OR($B$31=$B74,$B$33=$B74,$B$35=$B74,$B$35=$B74,$B$37=$B74,$B$39=$B74)=TRUE,H74,0)</f>
        <v>0</v>
      </c>
      <c r="R74">
        <f t="shared" ref="R74:R90" si="5">IF(OR($B$31=$B74,$B$33=$B74,$B$35=$B74,$B$35=$B74,$B$37=$B74,$B$39=$B74)=TRUE,J74,0)</f>
        <v>0</v>
      </c>
    </row>
    <row r="75" spans="1:18" hidden="1" x14ac:dyDescent="0.25">
      <c r="A75" s="130"/>
      <c r="B75" s="150" t="s">
        <v>240</v>
      </c>
      <c r="C75" s="130"/>
      <c r="D75" s="130"/>
      <c r="E75" s="139"/>
      <c r="F75" s="130"/>
      <c r="G75" s="134"/>
      <c r="H75" s="134"/>
      <c r="I75" s="134"/>
      <c r="J75" s="134"/>
      <c r="K75" s="134"/>
      <c r="L75" s="130">
        <f t="shared" ref="L75:L90" si="6">IF(OR($B$31=$B75,$B$33=$B75,$B$35=$B75,$B$35=$B75,$B$37=$B75,$B$39=$B75)=TRUE,D75,0)</f>
        <v>0</v>
      </c>
      <c r="M75" s="134"/>
      <c r="N75" s="130">
        <f t="shared" si="3"/>
        <v>0</v>
      </c>
      <c r="O75" s="130"/>
      <c r="P75" s="130">
        <f t="shared" si="4"/>
        <v>0</v>
      </c>
      <c r="R75">
        <f t="shared" si="5"/>
        <v>0</v>
      </c>
    </row>
    <row r="76" spans="1:18" hidden="1" x14ac:dyDescent="0.25">
      <c r="A76" s="130"/>
      <c r="B76" s="150" t="s">
        <v>251</v>
      </c>
      <c r="C76" s="130"/>
      <c r="D76" s="130"/>
      <c r="E76" s="139"/>
      <c r="F76" s="130"/>
      <c r="G76" s="134"/>
      <c r="H76" s="134"/>
      <c r="I76" s="134"/>
      <c r="J76" s="134">
        <v>-1</v>
      </c>
      <c r="K76" s="134"/>
      <c r="L76" s="130">
        <f t="shared" si="6"/>
        <v>0</v>
      </c>
      <c r="M76" s="134"/>
      <c r="N76" s="130">
        <f t="shared" si="3"/>
        <v>0</v>
      </c>
      <c r="O76" s="130"/>
      <c r="P76" s="130">
        <f t="shared" si="4"/>
        <v>0</v>
      </c>
      <c r="R76">
        <f t="shared" si="5"/>
        <v>0</v>
      </c>
    </row>
    <row r="77" spans="1:18" hidden="1" x14ac:dyDescent="0.25">
      <c r="A77" s="130"/>
      <c r="B77" s="150" t="s">
        <v>237</v>
      </c>
      <c r="C77" s="134"/>
      <c r="D77" s="130"/>
      <c r="E77" s="139"/>
      <c r="F77" s="130"/>
      <c r="G77" s="134"/>
      <c r="H77" s="134"/>
      <c r="I77" s="134"/>
      <c r="J77" s="134"/>
      <c r="K77" s="134"/>
      <c r="L77" s="130">
        <f t="shared" si="6"/>
        <v>0</v>
      </c>
      <c r="M77" s="134"/>
      <c r="N77" s="130">
        <f t="shared" si="3"/>
        <v>0</v>
      </c>
      <c r="O77" s="130"/>
      <c r="P77" s="130">
        <f t="shared" si="4"/>
        <v>0</v>
      </c>
      <c r="R77">
        <f t="shared" si="5"/>
        <v>0</v>
      </c>
    </row>
    <row r="78" spans="1:18" hidden="1" x14ac:dyDescent="0.25">
      <c r="A78" s="130"/>
      <c r="B78" s="150" t="s">
        <v>239</v>
      </c>
      <c r="C78" s="134"/>
      <c r="D78" s="130"/>
      <c r="E78" s="139"/>
      <c r="F78" s="130"/>
      <c r="G78" s="134"/>
      <c r="H78" s="134"/>
      <c r="I78" s="134"/>
      <c r="J78" s="134"/>
      <c r="K78" s="134"/>
      <c r="L78" s="130">
        <f t="shared" si="6"/>
        <v>0</v>
      </c>
      <c r="M78" s="134"/>
      <c r="N78" s="130">
        <f t="shared" si="3"/>
        <v>0</v>
      </c>
      <c r="O78" s="130"/>
      <c r="P78" s="130">
        <f t="shared" si="4"/>
        <v>0</v>
      </c>
      <c r="R78">
        <f t="shared" si="5"/>
        <v>0</v>
      </c>
    </row>
    <row r="79" spans="1:18" hidden="1" x14ac:dyDescent="0.25">
      <c r="A79" s="130"/>
      <c r="B79" s="150" t="s">
        <v>243</v>
      </c>
      <c r="C79" s="134"/>
      <c r="D79" s="130"/>
      <c r="E79" s="139"/>
      <c r="F79" s="130"/>
      <c r="G79" s="134"/>
      <c r="H79" s="134"/>
      <c r="I79" s="134"/>
      <c r="J79" s="134"/>
      <c r="K79" s="134"/>
      <c r="L79" s="130">
        <f t="shared" si="6"/>
        <v>0</v>
      </c>
      <c r="M79" s="134"/>
      <c r="N79" s="130">
        <f t="shared" si="3"/>
        <v>0</v>
      </c>
      <c r="O79" s="130"/>
      <c r="P79" s="130">
        <f t="shared" si="4"/>
        <v>0</v>
      </c>
      <c r="R79">
        <f t="shared" si="5"/>
        <v>0</v>
      </c>
    </row>
    <row r="80" spans="1:18" hidden="1" x14ac:dyDescent="0.25">
      <c r="A80" s="130"/>
      <c r="B80" s="150" t="s">
        <v>252</v>
      </c>
      <c r="C80" s="134"/>
      <c r="D80" s="130"/>
      <c r="E80" s="139"/>
      <c r="F80" s="130"/>
      <c r="G80" s="134"/>
      <c r="H80" s="134"/>
      <c r="I80" s="134"/>
      <c r="J80" s="134"/>
      <c r="K80" s="134"/>
      <c r="L80" s="130">
        <f t="shared" si="6"/>
        <v>0</v>
      </c>
      <c r="M80" s="134"/>
      <c r="N80" s="130">
        <f t="shared" si="3"/>
        <v>0</v>
      </c>
      <c r="O80" s="130"/>
      <c r="P80" s="130">
        <f t="shared" si="4"/>
        <v>0</v>
      </c>
      <c r="R80">
        <f t="shared" si="5"/>
        <v>0</v>
      </c>
    </row>
    <row r="81" spans="1:18" hidden="1" x14ac:dyDescent="0.25">
      <c r="A81" s="130"/>
      <c r="B81" s="150" t="s">
        <v>244</v>
      </c>
      <c r="C81" s="134"/>
      <c r="D81" s="130"/>
      <c r="E81" s="139"/>
      <c r="F81" s="130">
        <v>1</v>
      </c>
      <c r="G81" s="134"/>
      <c r="H81" s="134"/>
      <c r="I81" s="134"/>
      <c r="J81" s="134"/>
      <c r="K81" s="134"/>
      <c r="L81" s="130">
        <f t="shared" si="6"/>
        <v>0</v>
      </c>
      <c r="M81" s="134"/>
      <c r="N81" s="130">
        <f t="shared" si="3"/>
        <v>0</v>
      </c>
      <c r="O81" s="130"/>
      <c r="P81" s="130">
        <f t="shared" si="4"/>
        <v>0</v>
      </c>
      <c r="R81">
        <f t="shared" si="5"/>
        <v>0</v>
      </c>
    </row>
    <row r="82" spans="1:18" hidden="1" x14ac:dyDescent="0.25">
      <c r="A82" s="130"/>
      <c r="B82" s="150" t="s">
        <v>245</v>
      </c>
      <c r="C82" s="134"/>
      <c r="D82" s="130"/>
      <c r="E82" s="139"/>
      <c r="F82" s="130"/>
      <c r="G82" s="134"/>
      <c r="H82" s="134"/>
      <c r="I82" s="134"/>
      <c r="J82" s="134"/>
      <c r="K82" s="134"/>
      <c r="L82" s="130">
        <f t="shared" si="6"/>
        <v>0</v>
      </c>
      <c r="M82" s="134"/>
      <c r="N82" s="130">
        <f t="shared" si="3"/>
        <v>0</v>
      </c>
      <c r="O82" s="130"/>
      <c r="P82" s="130">
        <f t="shared" si="4"/>
        <v>0</v>
      </c>
      <c r="R82">
        <f t="shared" si="5"/>
        <v>0</v>
      </c>
    </row>
    <row r="83" spans="1:18" hidden="1" x14ac:dyDescent="0.25">
      <c r="A83" s="130"/>
      <c r="B83" s="150" t="s">
        <v>241</v>
      </c>
      <c r="C83" s="134"/>
      <c r="D83" s="130"/>
      <c r="E83" s="139"/>
      <c r="F83" s="130"/>
      <c r="G83" s="134"/>
      <c r="H83" s="134"/>
      <c r="I83" s="134"/>
      <c r="J83" s="134"/>
      <c r="K83" s="134"/>
      <c r="L83" s="130">
        <f t="shared" si="6"/>
        <v>0</v>
      </c>
      <c r="M83" s="134"/>
      <c r="N83" s="130">
        <f t="shared" si="3"/>
        <v>0</v>
      </c>
      <c r="O83" s="130"/>
      <c r="P83" s="130">
        <f t="shared" si="4"/>
        <v>0</v>
      </c>
      <c r="R83">
        <f t="shared" si="5"/>
        <v>0</v>
      </c>
    </row>
    <row r="84" spans="1:18" hidden="1" x14ac:dyDescent="0.25">
      <c r="A84" s="130"/>
      <c r="B84" s="150" t="s">
        <v>246</v>
      </c>
      <c r="C84" s="134"/>
      <c r="D84" s="130"/>
      <c r="E84" s="139"/>
      <c r="F84" s="130"/>
      <c r="G84" s="134"/>
      <c r="H84" s="134"/>
      <c r="I84" s="134"/>
      <c r="J84" s="134"/>
      <c r="K84" s="134"/>
      <c r="L84" s="130">
        <f t="shared" si="6"/>
        <v>0</v>
      </c>
      <c r="M84" s="134"/>
      <c r="N84" s="130">
        <f t="shared" si="3"/>
        <v>0</v>
      </c>
      <c r="O84" s="130"/>
      <c r="P84" s="130">
        <f t="shared" si="4"/>
        <v>0</v>
      </c>
      <c r="R84">
        <f t="shared" si="5"/>
        <v>0</v>
      </c>
    </row>
    <row r="85" spans="1:18" hidden="1" x14ac:dyDescent="0.25">
      <c r="A85" s="130"/>
      <c r="B85" s="150" t="s">
        <v>238</v>
      </c>
      <c r="C85" s="134"/>
      <c r="D85" s="130"/>
      <c r="E85" s="139"/>
      <c r="F85" s="130"/>
      <c r="G85" s="134"/>
      <c r="H85" s="134"/>
      <c r="I85" s="134"/>
      <c r="J85" s="134"/>
      <c r="K85" s="134"/>
      <c r="L85" s="130">
        <f t="shared" si="6"/>
        <v>0</v>
      </c>
      <c r="M85" s="134"/>
      <c r="N85" s="130">
        <f t="shared" si="3"/>
        <v>0</v>
      </c>
      <c r="O85" s="130"/>
      <c r="P85" s="130">
        <f t="shared" si="4"/>
        <v>0</v>
      </c>
      <c r="R85">
        <f t="shared" si="5"/>
        <v>0</v>
      </c>
    </row>
    <row r="86" spans="1:18" hidden="1" x14ac:dyDescent="0.25">
      <c r="A86" s="130"/>
      <c r="B86" s="150" t="s">
        <v>247</v>
      </c>
      <c r="C86" s="134"/>
      <c r="D86" s="130"/>
      <c r="E86" s="139"/>
      <c r="F86" s="130"/>
      <c r="G86" s="134"/>
      <c r="H86" s="134"/>
      <c r="I86" s="134"/>
      <c r="J86" s="134"/>
      <c r="K86" s="134"/>
      <c r="L86" s="130">
        <f t="shared" si="6"/>
        <v>0</v>
      </c>
      <c r="M86" s="134"/>
      <c r="N86" s="130">
        <f t="shared" si="3"/>
        <v>0</v>
      </c>
      <c r="O86" s="130"/>
      <c r="P86" s="130">
        <f t="shared" si="4"/>
        <v>0</v>
      </c>
      <c r="R86">
        <f t="shared" si="5"/>
        <v>0</v>
      </c>
    </row>
    <row r="87" spans="1:18" hidden="1" x14ac:dyDescent="0.25">
      <c r="A87" s="130"/>
      <c r="B87" s="150" t="s">
        <v>248</v>
      </c>
      <c r="C87" s="134"/>
      <c r="D87" s="130"/>
      <c r="E87" s="139"/>
      <c r="F87" s="130">
        <v>10</v>
      </c>
      <c r="G87" s="134"/>
      <c r="H87" s="134"/>
      <c r="I87" s="134"/>
      <c r="J87" s="134"/>
      <c r="K87" s="134"/>
      <c r="L87" s="130">
        <f t="shared" si="6"/>
        <v>0</v>
      </c>
      <c r="M87" s="134"/>
      <c r="N87" s="130">
        <f t="shared" si="3"/>
        <v>0</v>
      </c>
      <c r="O87" s="130"/>
      <c r="P87" s="130">
        <f t="shared" si="4"/>
        <v>0</v>
      </c>
      <c r="R87">
        <f t="shared" si="5"/>
        <v>0</v>
      </c>
    </row>
    <row r="88" spans="1:18" hidden="1" x14ac:dyDescent="0.25">
      <c r="A88" s="130"/>
      <c r="B88" s="150" t="s">
        <v>249</v>
      </c>
      <c r="C88" s="134"/>
      <c r="D88" s="130"/>
      <c r="E88" s="139"/>
      <c r="F88" s="130"/>
      <c r="G88" s="134"/>
      <c r="H88" s="134"/>
      <c r="I88" s="134"/>
      <c r="J88" s="134"/>
      <c r="K88" s="134"/>
      <c r="L88" s="130">
        <f t="shared" si="6"/>
        <v>0</v>
      </c>
      <c r="M88" s="134"/>
      <c r="N88" s="130">
        <f t="shared" si="3"/>
        <v>0</v>
      </c>
      <c r="O88" s="130"/>
      <c r="P88" s="130">
        <f t="shared" si="4"/>
        <v>0</v>
      </c>
      <c r="R88">
        <f t="shared" si="5"/>
        <v>0</v>
      </c>
    </row>
    <row r="89" spans="1:18" hidden="1" x14ac:dyDescent="0.25">
      <c r="A89" s="130"/>
      <c r="B89" s="150" t="s">
        <v>250</v>
      </c>
      <c r="C89" s="134"/>
      <c r="D89" s="130"/>
      <c r="E89" s="139"/>
      <c r="F89" s="130"/>
      <c r="G89" s="134"/>
      <c r="H89" s="134"/>
      <c r="I89" s="134"/>
      <c r="J89" s="134"/>
      <c r="K89" s="134"/>
      <c r="L89" s="130">
        <f t="shared" si="6"/>
        <v>0</v>
      </c>
      <c r="M89" s="134"/>
      <c r="N89" s="130">
        <f t="shared" si="3"/>
        <v>0</v>
      </c>
      <c r="O89" s="130"/>
      <c r="P89" s="130">
        <f t="shared" si="4"/>
        <v>0</v>
      </c>
      <c r="R89">
        <f t="shared" si="5"/>
        <v>0</v>
      </c>
    </row>
    <row r="90" spans="1:18" ht="15.75" hidden="1" thickBot="1" x14ac:dyDescent="0.3">
      <c r="A90" s="130"/>
      <c r="B90" s="151" t="s">
        <v>242</v>
      </c>
      <c r="C90" s="134"/>
      <c r="D90" s="130"/>
      <c r="E90" s="139"/>
      <c r="F90" s="130"/>
      <c r="G90" s="134"/>
      <c r="H90" s="134"/>
      <c r="I90" s="134"/>
      <c r="J90" s="134"/>
      <c r="K90" s="134"/>
      <c r="L90" s="130">
        <f t="shared" si="6"/>
        <v>0</v>
      </c>
      <c r="M90" s="134"/>
      <c r="N90" s="130">
        <f t="shared" si="3"/>
        <v>0</v>
      </c>
      <c r="O90" s="130"/>
      <c r="P90" s="130">
        <f t="shared" si="4"/>
        <v>0</v>
      </c>
      <c r="R90">
        <f t="shared" si="5"/>
        <v>0</v>
      </c>
    </row>
    <row r="91" spans="1:18" hidden="1" x14ac:dyDescent="0.25">
      <c r="A91" s="130"/>
      <c r="B91" s="130"/>
      <c r="C91" s="134"/>
      <c r="D91" s="130"/>
      <c r="E91" s="139"/>
      <c r="F91" s="130"/>
      <c r="G91" s="134"/>
      <c r="H91" s="134"/>
      <c r="I91" s="134"/>
      <c r="J91" s="134"/>
      <c r="K91" s="134"/>
      <c r="L91" s="134">
        <f>SUM(L74:L90)</f>
        <v>0</v>
      </c>
      <c r="M91" s="134"/>
      <c r="N91" s="134">
        <f>SUM(N74:N90)</f>
        <v>0</v>
      </c>
      <c r="O91" s="130"/>
      <c r="P91" s="134">
        <f>SUM(P74:P90)</f>
        <v>0</v>
      </c>
      <c r="R91" s="11">
        <f>SUM(R74:R90)</f>
        <v>0</v>
      </c>
    </row>
    <row r="92" spans="1:18" x14ac:dyDescent="0.25">
      <c r="A92" s="130"/>
      <c r="B92" s="130"/>
      <c r="C92" s="134"/>
      <c r="D92" s="130"/>
      <c r="E92" s="139"/>
      <c r="F92" s="130"/>
      <c r="G92" s="134"/>
      <c r="H92" s="134"/>
      <c r="I92" s="134"/>
      <c r="J92" s="134"/>
      <c r="K92" s="134"/>
      <c r="L92" s="134"/>
      <c r="M92" s="134"/>
      <c r="N92" s="130"/>
      <c r="O92" s="130"/>
      <c r="P92" s="130"/>
    </row>
    <row r="93" spans="1:18" x14ac:dyDescent="0.25">
      <c r="A93" s="130"/>
      <c r="B93" s="130"/>
      <c r="C93" s="134"/>
      <c r="D93" s="130"/>
      <c r="E93" s="139"/>
      <c r="F93" s="130"/>
      <c r="G93" s="134"/>
      <c r="H93" s="134"/>
      <c r="I93" s="134"/>
      <c r="J93" s="134"/>
      <c r="K93" s="134"/>
      <c r="L93" s="134"/>
      <c r="M93" s="134"/>
      <c r="N93" s="130"/>
      <c r="O93" s="130"/>
      <c r="P93" s="130"/>
    </row>
    <row r="94" spans="1:18" x14ac:dyDescent="0.25">
      <c r="A94" s="130"/>
      <c r="B94" s="130"/>
      <c r="C94" s="134"/>
      <c r="D94" s="130"/>
      <c r="E94" s="139"/>
      <c r="F94" s="130"/>
      <c r="G94" s="134"/>
      <c r="H94" s="134"/>
      <c r="I94" s="134"/>
      <c r="J94" s="134"/>
      <c r="K94" s="134"/>
      <c r="L94" s="134"/>
      <c r="M94" s="134"/>
      <c r="N94" s="130"/>
      <c r="O94" s="130"/>
      <c r="P94" s="130"/>
    </row>
    <row r="95" spans="1:18" x14ac:dyDescent="0.25">
      <c r="A95" s="130"/>
      <c r="B95" s="130"/>
      <c r="C95" s="134"/>
      <c r="D95" s="130"/>
      <c r="E95" s="139"/>
      <c r="F95" s="130"/>
      <c r="G95" s="134"/>
      <c r="H95" s="134"/>
      <c r="I95" s="134"/>
      <c r="J95" s="134"/>
      <c r="K95" s="134"/>
      <c r="L95" s="134"/>
      <c r="M95" s="134"/>
      <c r="N95" s="130"/>
      <c r="O95" s="130"/>
      <c r="P95" s="130"/>
    </row>
  </sheetData>
  <sheetProtection sheet="1" objects="1" scenarios="1" selectLockedCells="1"/>
  <mergeCells count="37">
    <mergeCell ref="M2:M40"/>
    <mergeCell ref="A1:M1"/>
    <mergeCell ref="A2:A39"/>
    <mergeCell ref="A40:L40"/>
    <mergeCell ref="D2:H2"/>
    <mergeCell ref="B29:D29"/>
    <mergeCell ref="F29:L29"/>
    <mergeCell ref="B31:D31"/>
    <mergeCell ref="B33:D33"/>
    <mergeCell ref="B7:D7"/>
    <mergeCell ref="B15:D15"/>
    <mergeCell ref="F7:L7"/>
    <mergeCell ref="F15:L15"/>
    <mergeCell ref="F27:H27"/>
    <mergeCell ref="J27:L27"/>
    <mergeCell ref="J13:L13"/>
    <mergeCell ref="D4:F4"/>
    <mergeCell ref="H4:J4"/>
    <mergeCell ref="F11:H11"/>
    <mergeCell ref="F13:H13"/>
    <mergeCell ref="J9:L9"/>
    <mergeCell ref="J11:L11"/>
    <mergeCell ref="B19:D19"/>
    <mergeCell ref="F9:H9"/>
    <mergeCell ref="B23:D23"/>
    <mergeCell ref="B37:D37"/>
    <mergeCell ref="B39:D39"/>
    <mergeCell ref="D25:H25"/>
    <mergeCell ref="B21:D21"/>
    <mergeCell ref="F17:L17"/>
    <mergeCell ref="F19:L19"/>
    <mergeCell ref="F21:L21"/>
    <mergeCell ref="B17:D17"/>
    <mergeCell ref="F23:L23"/>
    <mergeCell ref="F31:L37"/>
    <mergeCell ref="F39:J39"/>
    <mergeCell ref="B35:D35"/>
  </mergeCells>
  <dataValidations count="9">
    <dataValidation type="list" allowBlank="1" showInputMessage="1" showErrorMessage="1" sqref="L26 J27:L27">
      <formula1>HD</formula1>
    </dataValidation>
    <dataValidation type="list" allowBlank="1" showInputMessage="1" showErrorMessage="1" sqref="L25">
      <formula1>CR</formula1>
    </dataValidation>
    <dataValidation type="list" allowBlank="1" showInputMessage="1" showErrorMessage="1" sqref="D4">
      <formula1>Size</formula1>
    </dataValidation>
    <dataValidation type="list" allowBlank="1" showInputMessage="1" showErrorMessage="1" sqref="F17:L17 F21:L21 F19:L19 F23:L23">
      <formula1>Resources</formula1>
    </dataValidation>
    <dataValidation type="list" allowBlank="1" showInputMessage="1" showErrorMessage="1" sqref="B31:D31 B33:D33 B35:D35 B37:D37 B39:D39">
      <formula1>Abilities</formula1>
    </dataValidation>
    <dataValidation type="list" allowBlank="1" showInputMessage="1" showErrorMessage="1" sqref="L4">
      <formula1>Active</formula1>
    </dataValidation>
    <dataValidation type="list" allowBlank="1" showInputMessage="1" showErrorMessage="1" sqref="B17:D17 B19:D19 B21:D21 B23:D23">
      <formula1>Tactics</formula1>
    </dataValidation>
    <dataValidation type="list" allowBlank="1" showInputMessage="1" showErrorMessage="1" sqref="L39">
      <formula1>CHA</formula1>
    </dataValidation>
    <dataValidation type="list" allowBlank="1" showInputMessage="1" showErrorMessage="1" sqref="J13:L13">
      <formula1>Morale</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R95"/>
  <sheetViews>
    <sheetView workbookViewId="0">
      <selection activeCell="B31" sqref="B31:D31"/>
    </sheetView>
  </sheetViews>
  <sheetFormatPr defaultRowHeight="15" x14ac:dyDescent="0.25"/>
  <cols>
    <col min="1" max="1" width="0.85546875" customWidth="1"/>
    <col min="2" max="2" width="18.7109375" customWidth="1"/>
    <col min="3" max="3" width="0.85546875" style="11" customWidth="1"/>
    <col min="4" max="4" width="10.7109375" customWidth="1"/>
    <col min="5" max="5" width="0.85546875" style="5" customWidth="1"/>
    <col min="6" max="6" width="8.28515625" customWidth="1"/>
    <col min="7" max="7" width="0.85546875" style="11" customWidth="1"/>
    <col min="8" max="8" width="10.7109375" style="11" customWidth="1"/>
    <col min="9" max="9" width="0.85546875" style="11" customWidth="1"/>
    <col min="10" max="10" width="4.7109375" style="11" customWidth="1"/>
    <col min="11" max="11" width="0.85546875" style="11" customWidth="1"/>
    <col min="12" max="12" width="5.7109375" style="11" customWidth="1"/>
    <col min="13" max="13" width="0.85546875" style="11" customWidth="1"/>
    <col min="15" max="15" width="0.85546875" customWidth="1"/>
    <col min="17" max="17" width="0.85546875" customWidth="1"/>
  </cols>
  <sheetData>
    <row r="1" spans="1:16" ht="5.0999999999999996" customHeight="1" thickBot="1" x14ac:dyDescent="0.3">
      <c r="A1" s="500"/>
      <c r="B1" s="501"/>
      <c r="C1" s="501"/>
      <c r="D1" s="501"/>
      <c r="E1" s="501"/>
      <c r="F1" s="501"/>
      <c r="G1" s="501"/>
      <c r="H1" s="501"/>
      <c r="I1" s="501"/>
      <c r="J1" s="501"/>
      <c r="K1" s="501"/>
      <c r="L1" s="501"/>
      <c r="M1" s="502"/>
      <c r="N1" s="130"/>
      <c r="O1" s="130"/>
      <c r="P1" s="130"/>
    </row>
    <row r="2" spans="1:16" ht="15.75" thickBot="1" x14ac:dyDescent="0.3">
      <c r="A2" s="480"/>
      <c r="B2" s="131" t="s">
        <v>83</v>
      </c>
      <c r="C2" s="132"/>
      <c r="D2" s="455"/>
      <c r="E2" s="372"/>
      <c r="F2" s="372"/>
      <c r="G2" s="372"/>
      <c r="H2" s="373"/>
      <c r="I2" s="111"/>
      <c r="J2" s="131" t="s">
        <v>187</v>
      </c>
      <c r="K2" s="97"/>
      <c r="L2" s="152">
        <f>IF(D4="Fine",(L25-8),(IF(D4="Dimunitive",(L25-6),(IF(D4="Tiny",(L25-4),(IF(D4="Small",(L25-2),(IF(D4="Medium",(L25),(IF(D4="Large",(L25+2),(IF(D4="Huge",(L25+4),(IF(D4="Gargantuan",(L25+6),(IF(D4="Colossal",(L25+8),0)))))))))))))))))</f>
        <v>0</v>
      </c>
      <c r="M2" s="497"/>
      <c r="N2" s="130"/>
      <c r="O2" s="130"/>
      <c r="P2" s="130"/>
    </row>
    <row r="3" spans="1:16" s="1" customFormat="1" ht="3" customHeight="1" thickBot="1" x14ac:dyDescent="0.3">
      <c r="A3" s="495"/>
      <c r="B3" s="132"/>
      <c r="C3" s="132"/>
      <c r="D3" s="133"/>
      <c r="E3" s="134"/>
      <c r="F3" s="132"/>
      <c r="G3" s="132"/>
      <c r="H3" s="132"/>
      <c r="I3" s="132"/>
      <c r="J3" s="132"/>
      <c r="K3" s="132"/>
      <c r="L3" s="134"/>
      <c r="M3" s="498"/>
      <c r="N3" s="135"/>
      <c r="O3" s="135"/>
      <c r="P3" s="135"/>
    </row>
    <row r="4" spans="1:16" ht="15.75" thickBot="1" x14ac:dyDescent="0.3">
      <c r="A4" s="495"/>
      <c r="B4" s="131" t="s">
        <v>43</v>
      </c>
      <c r="C4" s="132"/>
      <c r="D4" s="455"/>
      <c r="E4" s="372"/>
      <c r="F4" s="372"/>
      <c r="G4" s="136"/>
      <c r="H4" s="496" t="s">
        <v>255</v>
      </c>
      <c r="I4" s="495"/>
      <c r="J4" s="495"/>
      <c r="K4" s="134"/>
      <c r="L4" s="129"/>
      <c r="M4" s="498"/>
      <c r="N4" s="130"/>
      <c r="O4" s="130"/>
      <c r="P4" s="130"/>
    </row>
    <row r="5" spans="1:16" s="1" customFormat="1" ht="3" customHeight="1" x14ac:dyDescent="0.25">
      <c r="A5" s="495"/>
      <c r="B5" s="132"/>
      <c r="C5" s="132"/>
      <c r="D5" s="137"/>
      <c r="E5" s="137"/>
      <c r="F5" s="134"/>
      <c r="G5" s="134"/>
      <c r="H5" s="134"/>
      <c r="I5" s="134"/>
      <c r="J5" s="134"/>
      <c r="K5" s="134"/>
      <c r="L5" s="134"/>
      <c r="M5" s="498"/>
      <c r="N5" s="135"/>
      <c r="O5" s="135"/>
      <c r="P5" s="135"/>
    </row>
    <row r="6" spans="1:16" s="1" customFormat="1" ht="3" customHeight="1" x14ac:dyDescent="0.25">
      <c r="A6" s="495"/>
      <c r="B6" s="132"/>
      <c r="C6" s="132"/>
      <c r="D6" s="137"/>
      <c r="E6" s="137"/>
      <c r="F6" s="134"/>
      <c r="G6" s="134"/>
      <c r="H6" s="134"/>
      <c r="I6" s="134"/>
      <c r="J6" s="134"/>
      <c r="K6" s="134"/>
      <c r="L6" s="134"/>
      <c r="M6" s="498"/>
      <c r="N6" s="135"/>
      <c r="O6" s="135"/>
      <c r="P6" s="135"/>
    </row>
    <row r="7" spans="1:16" x14ac:dyDescent="0.25">
      <c r="A7" s="495"/>
      <c r="B7" s="408" t="s">
        <v>182</v>
      </c>
      <c r="C7" s="480"/>
      <c r="D7" s="480"/>
      <c r="E7" s="138"/>
      <c r="F7" s="408" t="s">
        <v>183</v>
      </c>
      <c r="G7" s="480"/>
      <c r="H7" s="480"/>
      <c r="I7" s="480"/>
      <c r="J7" s="480"/>
      <c r="K7" s="480"/>
      <c r="L7" s="480"/>
      <c r="M7" s="498"/>
      <c r="N7" s="130"/>
      <c r="O7" s="130"/>
      <c r="P7" s="130"/>
    </row>
    <row r="8" spans="1:16" ht="3" customHeight="1" thickBot="1" x14ac:dyDescent="0.3">
      <c r="A8" s="495"/>
      <c r="B8" s="139"/>
      <c r="C8" s="134"/>
      <c r="D8" s="139"/>
      <c r="E8" s="139"/>
      <c r="F8" s="139"/>
      <c r="G8" s="134"/>
      <c r="H8" s="134"/>
      <c r="I8" s="134"/>
      <c r="J8" s="134"/>
      <c r="K8" s="134"/>
      <c r="L8" s="134"/>
      <c r="M8" s="498"/>
      <c r="N8" s="130"/>
      <c r="O8" s="130"/>
      <c r="P8" s="130"/>
    </row>
    <row r="9" spans="1:16" ht="15.75" thickBot="1" x14ac:dyDescent="0.3">
      <c r="A9" s="495"/>
      <c r="B9" s="112" t="s">
        <v>185</v>
      </c>
      <c r="C9" s="140"/>
      <c r="D9" s="60">
        <f>ROUNDDOWN((L2*((J27+1)/2)),0)</f>
        <v>0</v>
      </c>
      <c r="E9" s="138"/>
      <c r="F9" s="479" t="s">
        <v>184</v>
      </c>
      <c r="G9" s="480"/>
      <c r="H9" s="480"/>
      <c r="I9" s="138"/>
      <c r="J9" s="391">
        <f>ROUNDDOWN(D27/15,0)</f>
        <v>0</v>
      </c>
      <c r="K9" s="392"/>
      <c r="L9" s="393"/>
      <c r="M9" s="498"/>
      <c r="N9" s="130"/>
      <c r="O9" s="130"/>
      <c r="P9" s="130"/>
    </row>
    <row r="10" spans="1:16" ht="3" customHeight="1" thickBot="1" x14ac:dyDescent="0.3">
      <c r="A10" s="495"/>
      <c r="B10" s="111"/>
      <c r="C10" s="134"/>
      <c r="D10" s="139"/>
      <c r="E10" s="139"/>
      <c r="F10" s="139"/>
      <c r="G10" s="134"/>
      <c r="H10" s="111"/>
      <c r="I10" s="134"/>
      <c r="J10" s="137"/>
      <c r="K10" s="137"/>
      <c r="L10" s="137"/>
      <c r="M10" s="498"/>
      <c r="N10" s="130"/>
      <c r="O10" s="130"/>
      <c r="P10" s="130"/>
    </row>
    <row r="11" spans="1:16" ht="15.75" thickBot="1" x14ac:dyDescent="0.3">
      <c r="A11" s="495"/>
      <c r="B11" s="112" t="s">
        <v>193</v>
      </c>
      <c r="C11" s="140"/>
      <c r="D11" s="60">
        <f>L2+L57+L72+L91</f>
        <v>0</v>
      </c>
      <c r="E11" s="138"/>
      <c r="F11" s="479" t="s">
        <v>63</v>
      </c>
      <c r="G11" s="480"/>
      <c r="H11" s="480"/>
      <c r="I11" s="138"/>
      <c r="J11" s="391">
        <f>IF(L2=0,0,IF(((L2/2)+R57+R72+R91)&lt;1,1,ROUNDUP(((L2/2)+R57+R72+R91),0)))</f>
        <v>0</v>
      </c>
      <c r="K11" s="392"/>
      <c r="L11" s="393"/>
      <c r="M11" s="498"/>
      <c r="N11" s="130"/>
      <c r="O11" s="130"/>
      <c r="P11" s="130"/>
    </row>
    <row r="12" spans="1:16" ht="3" customHeight="1" thickBot="1" x14ac:dyDescent="0.3">
      <c r="A12" s="495"/>
      <c r="B12" s="111"/>
      <c r="C12" s="134"/>
      <c r="D12" s="139"/>
      <c r="E12" s="139"/>
      <c r="F12" s="139"/>
      <c r="G12" s="134"/>
      <c r="H12" s="111"/>
      <c r="I12" s="134"/>
      <c r="J12" s="137"/>
      <c r="K12" s="137"/>
      <c r="L12" s="137"/>
      <c r="M12" s="498"/>
      <c r="N12" s="130"/>
      <c r="O12" s="130"/>
      <c r="P12" s="130"/>
    </row>
    <row r="13" spans="1:16" ht="15.75" thickBot="1" x14ac:dyDescent="0.3">
      <c r="A13" s="495"/>
      <c r="B13" s="112" t="s">
        <v>194</v>
      </c>
      <c r="C13" s="140"/>
      <c r="D13" s="60">
        <f>10+L2+N57+N72+N91</f>
        <v>10</v>
      </c>
      <c r="E13" s="138"/>
      <c r="F13" s="479" t="s">
        <v>269</v>
      </c>
      <c r="G13" s="480"/>
      <c r="H13" s="480"/>
      <c r="I13" s="138"/>
      <c r="J13" s="505"/>
      <c r="K13" s="506"/>
      <c r="L13" s="507"/>
      <c r="M13" s="498"/>
      <c r="N13" s="130"/>
      <c r="O13" s="130"/>
      <c r="P13" s="130"/>
    </row>
    <row r="14" spans="1:16" ht="3" customHeight="1" x14ac:dyDescent="0.25">
      <c r="A14" s="495"/>
      <c r="B14" s="139"/>
      <c r="C14" s="134"/>
      <c r="D14" s="139"/>
      <c r="E14" s="139"/>
      <c r="F14" s="139"/>
      <c r="G14" s="134"/>
      <c r="H14" s="134"/>
      <c r="I14" s="134"/>
      <c r="J14" s="134"/>
      <c r="K14" s="134"/>
      <c r="L14" s="134"/>
      <c r="M14" s="498"/>
      <c r="N14" s="130"/>
      <c r="O14" s="130"/>
      <c r="P14" s="130"/>
    </row>
    <row r="15" spans="1:16" x14ac:dyDescent="0.25">
      <c r="A15" s="495"/>
      <c r="B15" s="408" t="s">
        <v>186</v>
      </c>
      <c r="C15" s="480"/>
      <c r="D15" s="480"/>
      <c r="E15" s="138"/>
      <c r="F15" s="408" t="s">
        <v>56</v>
      </c>
      <c r="G15" s="480"/>
      <c r="H15" s="480"/>
      <c r="I15" s="480"/>
      <c r="J15" s="480"/>
      <c r="K15" s="480"/>
      <c r="L15" s="480"/>
      <c r="M15" s="498"/>
      <c r="N15" s="130"/>
      <c r="O15" s="130"/>
      <c r="P15" s="130"/>
    </row>
    <row r="16" spans="1:16" s="5" customFormat="1" ht="3" customHeight="1" thickBot="1" x14ac:dyDescent="0.3">
      <c r="A16" s="495"/>
      <c r="B16" s="141"/>
      <c r="C16" s="141"/>
      <c r="D16" s="141"/>
      <c r="E16" s="141"/>
      <c r="F16" s="141"/>
      <c r="G16" s="141"/>
      <c r="H16" s="141"/>
      <c r="I16" s="141"/>
      <c r="J16" s="141"/>
      <c r="K16" s="141"/>
      <c r="L16" s="141"/>
      <c r="M16" s="498"/>
      <c r="N16" s="139"/>
      <c r="O16" s="139"/>
      <c r="P16" s="139"/>
    </row>
    <row r="17" spans="1:16" s="5" customFormat="1" ht="15.75" thickBot="1" x14ac:dyDescent="0.3">
      <c r="A17" s="495"/>
      <c r="B17" s="481"/>
      <c r="C17" s="482"/>
      <c r="D17" s="483"/>
      <c r="E17" s="141"/>
      <c r="F17" s="481"/>
      <c r="G17" s="482"/>
      <c r="H17" s="482"/>
      <c r="I17" s="482"/>
      <c r="J17" s="482"/>
      <c r="K17" s="482"/>
      <c r="L17" s="483"/>
      <c r="M17" s="498"/>
      <c r="N17" s="139"/>
      <c r="O17" s="139"/>
      <c r="P17" s="139"/>
    </row>
    <row r="18" spans="1:16" s="5" customFormat="1" ht="3" customHeight="1" thickBot="1" x14ac:dyDescent="0.3">
      <c r="A18" s="495"/>
      <c r="B18" s="141"/>
      <c r="C18" s="141"/>
      <c r="D18" s="141"/>
      <c r="E18" s="141"/>
      <c r="F18" s="141"/>
      <c r="G18" s="141"/>
      <c r="H18" s="141"/>
      <c r="I18" s="141"/>
      <c r="J18" s="141"/>
      <c r="K18" s="141"/>
      <c r="L18" s="141"/>
      <c r="M18" s="498"/>
      <c r="N18" s="139"/>
      <c r="O18" s="139"/>
      <c r="P18" s="139"/>
    </row>
    <row r="19" spans="1:16" s="5" customFormat="1" ht="15.75" thickBot="1" x14ac:dyDescent="0.3">
      <c r="A19" s="495"/>
      <c r="B19" s="476"/>
      <c r="C19" s="477"/>
      <c r="D19" s="478"/>
      <c r="E19" s="141"/>
      <c r="F19" s="481"/>
      <c r="G19" s="482"/>
      <c r="H19" s="482"/>
      <c r="I19" s="482"/>
      <c r="J19" s="482"/>
      <c r="K19" s="482"/>
      <c r="L19" s="483"/>
      <c r="M19" s="498"/>
      <c r="N19" s="139"/>
      <c r="O19" s="139"/>
      <c r="P19" s="139"/>
    </row>
    <row r="20" spans="1:16" s="5" customFormat="1" ht="3" customHeight="1" thickBot="1" x14ac:dyDescent="0.3">
      <c r="A20" s="495"/>
      <c r="B20" s="141"/>
      <c r="C20" s="141"/>
      <c r="D20" s="141"/>
      <c r="E20" s="141"/>
      <c r="F20" s="141"/>
      <c r="G20" s="141"/>
      <c r="H20" s="141"/>
      <c r="I20" s="141"/>
      <c r="J20" s="141"/>
      <c r="K20" s="141"/>
      <c r="L20" s="141"/>
      <c r="M20" s="498"/>
      <c r="N20" s="139"/>
      <c r="O20" s="139"/>
      <c r="P20" s="139"/>
    </row>
    <row r="21" spans="1:16" s="5" customFormat="1" ht="15.75" thickBot="1" x14ac:dyDescent="0.3">
      <c r="A21" s="495"/>
      <c r="B21" s="476"/>
      <c r="C21" s="477"/>
      <c r="D21" s="478"/>
      <c r="E21" s="141"/>
      <c r="F21" s="481"/>
      <c r="G21" s="482"/>
      <c r="H21" s="482"/>
      <c r="I21" s="482"/>
      <c r="J21" s="482"/>
      <c r="K21" s="482"/>
      <c r="L21" s="483"/>
      <c r="M21" s="498"/>
      <c r="N21" s="139"/>
      <c r="O21" s="139"/>
      <c r="P21" s="139"/>
    </row>
    <row r="22" spans="1:16" s="5" customFormat="1" ht="3" customHeight="1" thickBot="1" x14ac:dyDescent="0.3">
      <c r="A22" s="495"/>
      <c r="B22" s="141"/>
      <c r="C22" s="141"/>
      <c r="D22" s="141"/>
      <c r="E22" s="141"/>
      <c r="F22" s="141"/>
      <c r="G22" s="141"/>
      <c r="H22" s="141"/>
      <c r="I22" s="141"/>
      <c r="J22" s="141"/>
      <c r="K22" s="141"/>
      <c r="L22" s="141"/>
      <c r="M22" s="498"/>
      <c r="N22" s="139"/>
      <c r="O22" s="139"/>
      <c r="P22" s="139"/>
    </row>
    <row r="23" spans="1:16" s="5" customFormat="1" ht="15.75" thickBot="1" x14ac:dyDescent="0.3">
      <c r="A23" s="495"/>
      <c r="B23" s="476"/>
      <c r="C23" s="477"/>
      <c r="D23" s="478"/>
      <c r="E23" s="141"/>
      <c r="F23" s="481"/>
      <c r="G23" s="482"/>
      <c r="H23" s="482"/>
      <c r="I23" s="482"/>
      <c r="J23" s="482"/>
      <c r="K23" s="482"/>
      <c r="L23" s="483"/>
      <c r="M23" s="498"/>
      <c r="N23" s="139"/>
      <c r="O23" s="139"/>
      <c r="P23" s="139"/>
    </row>
    <row r="24" spans="1:16" ht="3" customHeight="1" thickBot="1" x14ac:dyDescent="0.3">
      <c r="A24" s="495"/>
      <c r="B24" s="142"/>
      <c r="C24" s="143"/>
      <c r="D24" s="142"/>
      <c r="E24" s="142"/>
      <c r="F24" s="142"/>
      <c r="G24" s="143"/>
      <c r="H24" s="143"/>
      <c r="I24" s="134"/>
      <c r="J24" s="143"/>
      <c r="K24" s="134"/>
      <c r="L24" s="143"/>
      <c r="M24" s="498"/>
      <c r="N24" s="130"/>
      <c r="O24" s="130"/>
      <c r="P24" s="130"/>
    </row>
    <row r="25" spans="1:16" ht="15.75" thickBot="1" x14ac:dyDescent="0.3">
      <c r="A25" s="495"/>
      <c r="B25" s="131" t="s">
        <v>191</v>
      </c>
      <c r="C25" s="132"/>
      <c r="D25" s="455"/>
      <c r="E25" s="372"/>
      <c r="F25" s="372"/>
      <c r="G25" s="372"/>
      <c r="H25" s="373"/>
      <c r="I25" s="144"/>
      <c r="J25" s="131" t="s">
        <v>187</v>
      </c>
      <c r="K25" s="144"/>
      <c r="L25" s="102"/>
      <c r="M25" s="498"/>
      <c r="N25" s="130"/>
      <c r="O25" s="130"/>
      <c r="P25" s="130"/>
    </row>
    <row r="26" spans="1:16" ht="3" customHeight="1" thickBot="1" x14ac:dyDescent="0.3">
      <c r="A26" s="495"/>
      <c r="B26" s="139"/>
      <c r="C26" s="134"/>
      <c r="D26" s="139"/>
      <c r="E26" s="138"/>
      <c r="F26" s="139"/>
      <c r="G26" s="134"/>
      <c r="H26" s="134"/>
      <c r="I26" s="134"/>
      <c r="J26" s="145" t="s">
        <v>192</v>
      </c>
      <c r="K26" s="144"/>
      <c r="L26" s="146"/>
      <c r="M26" s="498"/>
      <c r="N26" s="130"/>
      <c r="O26" s="130"/>
      <c r="P26" s="130"/>
    </row>
    <row r="27" spans="1:16" ht="15.75" thickBot="1" x14ac:dyDescent="0.3">
      <c r="A27" s="495"/>
      <c r="B27" s="112" t="s">
        <v>184</v>
      </c>
      <c r="C27" s="140"/>
      <c r="D27" s="57"/>
      <c r="E27" s="138"/>
      <c r="F27" s="479" t="s">
        <v>205</v>
      </c>
      <c r="G27" s="480"/>
      <c r="H27" s="480"/>
      <c r="I27" s="138"/>
      <c r="J27" s="371"/>
      <c r="K27" s="372"/>
      <c r="L27" s="373"/>
      <c r="M27" s="498"/>
      <c r="N27" s="130"/>
      <c r="O27" s="130"/>
      <c r="P27" s="130"/>
    </row>
    <row r="28" spans="1:16" s="5" customFormat="1" ht="3" customHeight="1" x14ac:dyDescent="0.25">
      <c r="A28" s="495"/>
      <c r="B28" s="141"/>
      <c r="C28" s="141"/>
      <c r="D28" s="141">
        <v>50</v>
      </c>
      <c r="E28" s="141"/>
      <c r="F28" s="141"/>
      <c r="G28" s="141"/>
      <c r="H28" s="141"/>
      <c r="I28" s="141"/>
      <c r="J28" s="141"/>
      <c r="K28" s="141"/>
      <c r="L28" s="141"/>
      <c r="M28" s="498"/>
      <c r="N28" s="139"/>
      <c r="O28" s="139"/>
      <c r="P28" s="139"/>
    </row>
    <row r="29" spans="1:16" x14ac:dyDescent="0.25">
      <c r="A29" s="495"/>
      <c r="B29" s="408" t="s">
        <v>189</v>
      </c>
      <c r="C29" s="480"/>
      <c r="D29" s="480"/>
      <c r="E29" s="138"/>
      <c r="F29" s="408" t="s">
        <v>190</v>
      </c>
      <c r="G29" s="480"/>
      <c r="H29" s="480"/>
      <c r="I29" s="480"/>
      <c r="J29" s="480"/>
      <c r="K29" s="480"/>
      <c r="L29" s="480"/>
      <c r="M29" s="498"/>
      <c r="N29" s="130"/>
      <c r="O29" s="130"/>
      <c r="P29" s="130"/>
    </row>
    <row r="30" spans="1:16" s="5" customFormat="1" ht="3" customHeight="1" thickBot="1" x14ac:dyDescent="0.3">
      <c r="A30" s="495"/>
      <c r="B30" s="141"/>
      <c r="C30" s="141"/>
      <c r="D30" s="141"/>
      <c r="E30" s="141"/>
      <c r="F30" s="141"/>
      <c r="G30" s="141"/>
      <c r="H30" s="141"/>
      <c r="I30" s="141"/>
      <c r="J30" s="141"/>
      <c r="K30" s="141"/>
      <c r="L30" s="141"/>
      <c r="M30" s="498"/>
      <c r="N30" s="139"/>
      <c r="O30" s="139"/>
      <c r="P30" s="139"/>
    </row>
    <row r="31" spans="1:16" s="5" customFormat="1" ht="15.75" thickBot="1" x14ac:dyDescent="0.3">
      <c r="A31" s="495"/>
      <c r="B31" s="481"/>
      <c r="C31" s="482"/>
      <c r="D31" s="483"/>
      <c r="E31" s="141"/>
      <c r="F31" s="484"/>
      <c r="G31" s="485"/>
      <c r="H31" s="485"/>
      <c r="I31" s="485"/>
      <c r="J31" s="485"/>
      <c r="K31" s="485"/>
      <c r="L31" s="486"/>
      <c r="M31" s="498"/>
      <c r="N31" s="139"/>
      <c r="O31" s="139"/>
      <c r="P31" s="139"/>
    </row>
    <row r="32" spans="1:16" s="5" customFormat="1" ht="3" customHeight="1" thickBot="1" x14ac:dyDescent="0.3">
      <c r="A32" s="495"/>
      <c r="B32" s="141"/>
      <c r="C32" s="141"/>
      <c r="D32" s="141"/>
      <c r="E32" s="141"/>
      <c r="F32" s="487"/>
      <c r="G32" s="488"/>
      <c r="H32" s="488"/>
      <c r="I32" s="488"/>
      <c r="J32" s="488"/>
      <c r="K32" s="488"/>
      <c r="L32" s="489"/>
      <c r="M32" s="498"/>
      <c r="N32" s="139"/>
      <c r="O32" s="139"/>
      <c r="P32" s="139"/>
    </row>
    <row r="33" spans="1:18" s="5" customFormat="1" ht="15.75" thickBot="1" x14ac:dyDescent="0.3">
      <c r="A33" s="495"/>
      <c r="B33" s="481"/>
      <c r="C33" s="482"/>
      <c r="D33" s="483"/>
      <c r="E33" s="141"/>
      <c r="F33" s="487"/>
      <c r="G33" s="488"/>
      <c r="H33" s="488"/>
      <c r="I33" s="488"/>
      <c r="J33" s="488"/>
      <c r="K33" s="488"/>
      <c r="L33" s="489"/>
      <c r="M33" s="498"/>
      <c r="N33" s="139"/>
      <c r="O33" s="139"/>
      <c r="P33" s="139"/>
    </row>
    <row r="34" spans="1:18" s="5" customFormat="1" ht="3" customHeight="1" thickBot="1" x14ac:dyDescent="0.3">
      <c r="A34" s="495"/>
      <c r="B34" s="141"/>
      <c r="C34" s="141"/>
      <c r="D34" s="141"/>
      <c r="E34" s="141"/>
      <c r="F34" s="487"/>
      <c r="G34" s="488"/>
      <c r="H34" s="488"/>
      <c r="I34" s="488"/>
      <c r="J34" s="488"/>
      <c r="K34" s="488"/>
      <c r="L34" s="489"/>
      <c r="M34" s="498"/>
      <c r="N34" s="139"/>
      <c r="O34" s="139"/>
      <c r="P34" s="139"/>
    </row>
    <row r="35" spans="1:18" s="5" customFormat="1" ht="15.75" thickBot="1" x14ac:dyDescent="0.3">
      <c r="A35" s="495"/>
      <c r="B35" s="481"/>
      <c r="C35" s="482"/>
      <c r="D35" s="483"/>
      <c r="E35" s="141"/>
      <c r="F35" s="487"/>
      <c r="G35" s="488"/>
      <c r="H35" s="488"/>
      <c r="I35" s="488"/>
      <c r="J35" s="488"/>
      <c r="K35" s="488"/>
      <c r="L35" s="489"/>
      <c r="M35" s="498"/>
      <c r="N35" s="139"/>
      <c r="O35" s="139"/>
      <c r="P35" s="139"/>
    </row>
    <row r="36" spans="1:18" s="5" customFormat="1" ht="3" customHeight="1" thickBot="1" x14ac:dyDescent="0.3">
      <c r="A36" s="495"/>
      <c r="B36" s="147"/>
      <c r="C36" s="147"/>
      <c r="D36" s="147"/>
      <c r="E36" s="141"/>
      <c r="F36" s="487"/>
      <c r="G36" s="490"/>
      <c r="H36" s="490"/>
      <c r="I36" s="490"/>
      <c r="J36" s="490"/>
      <c r="K36" s="490"/>
      <c r="L36" s="489"/>
      <c r="M36" s="498"/>
      <c r="N36" s="139"/>
      <c r="O36" s="139"/>
      <c r="P36" s="139"/>
    </row>
    <row r="37" spans="1:18" s="5" customFormat="1" ht="15.75" thickBot="1" x14ac:dyDescent="0.3">
      <c r="A37" s="495"/>
      <c r="B37" s="481"/>
      <c r="C37" s="482"/>
      <c r="D37" s="483"/>
      <c r="E37" s="141"/>
      <c r="F37" s="491"/>
      <c r="G37" s="492"/>
      <c r="H37" s="492"/>
      <c r="I37" s="492"/>
      <c r="J37" s="492"/>
      <c r="K37" s="492"/>
      <c r="L37" s="493"/>
      <c r="M37" s="498"/>
      <c r="N37" s="139"/>
      <c r="O37" s="139"/>
      <c r="P37" s="139"/>
    </row>
    <row r="38" spans="1:18" s="5" customFormat="1" ht="3" customHeight="1" thickBot="1" x14ac:dyDescent="0.3">
      <c r="A38" s="495"/>
      <c r="B38" s="147"/>
      <c r="C38" s="147"/>
      <c r="D38" s="147"/>
      <c r="E38" s="141"/>
      <c r="F38" s="148"/>
      <c r="G38" s="148"/>
      <c r="H38" s="148"/>
      <c r="I38" s="148"/>
      <c r="J38" s="148"/>
      <c r="K38" s="148"/>
      <c r="L38" s="148"/>
      <c r="M38" s="498"/>
      <c r="N38" s="139"/>
      <c r="O38" s="139"/>
      <c r="P38" s="139"/>
    </row>
    <row r="39" spans="1:18" s="5" customFormat="1" ht="15.75" thickBot="1" x14ac:dyDescent="0.3">
      <c r="A39" s="495"/>
      <c r="B39" s="481"/>
      <c r="C39" s="482"/>
      <c r="D39" s="483"/>
      <c r="E39" s="141"/>
      <c r="F39" s="494" t="s">
        <v>256</v>
      </c>
      <c r="G39" s="495"/>
      <c r="H39" s="495"/>
      <c r="I39" s="495"/>
      <c r="J39" s="495"/>
      <c r="K39" s="148"/>
      <c r="L39" s="104"/>
      <c r="M39" s="498"/>
      <c r="N39" s="139"/>
      <c r="O39" s="139"/>
      <c r="P39" s="139"/>
    </row>
    <row r="40" spans="1:18" ht="3" customHeight="1" thickBot="1" x14ac:dyDescent="0.3">
      <c r="A40" s="503"/>
      <c r="B40" s="504"/>
      <c r="C40" s="504"/>
      <c r="D40" s="504"/>
      <c r="E40" s="504"/>
      <c r="F40" s="504"/>
      <c r="G40" s="504"/>
      <c r="H40" s="504"/>
      <c r="I40" s="504"/>
      <c r="J40" s="504"/>
      <c r="K40" s="504"/>
      <c r="L40" s="504"/>
      <c r="M40" s="499"/>
      <c r="N40" s="130"/>
      <c r="O40" s="130"/>
      <c r="P40" s="130"/>
    </row>
    <row r="41" spans="1:18" ht="3" hidden="1" customHeight="1" x14ac:dyDescent="0.25">
      <c r="A41" s="139"/>
      <c r="B41" s="139"/>
      <c r="C41" s="134"/>
      <c r="D41" s="139"/>
      <c r="E41" s="139"/>
      <c r="F41" s="139"/>
      <c r="G41" s="134"/>
      <c r="H41" s="134"/>
      <c r="I41" s="134"/>
      <c r="J41" s="134"/>
      <c r="K41" s="134"/>
      <c r="L41" s="134"/>
      <c r="M41" s="134"/>
      <c r="N41" s="130"/>
      <c r="O41" s="130"/>
      <c r="P41" s="130"/>
    </row>
    <row r="42" spans="1:18" ht="3" hidden="1" customHeight="1" x14ac:dyDescent="0.25">
      <c r="A42" s="139"/>
      <c r="B42" s="139"/>
      <c r="C42" s="134"/>
      <c r="D42" s="139"/>
      <c r="E42" s="139"/>
      <c r="F42" s="139"/>
      <c r="G42" s="134"/>
      <c r="H42" s="134"/>
      <c r="I42" s="134"/>
      <c r="J42" s="134"/>
      <c r="K42" s="134"/>
      <c r="L42" s="134"/>
      <c r="M42" s="134"/>
      <c r="N42" s="130"/>
      <c r="O42" s="130"/>
      <c r="P42" s="130"/>
    </row>
    <row r="43" spans="1:18" hidden="1" x14ac:dyDescent="0.25">
      <c r="A43" s="130"/>
      <c r="B43" s="130"/>
      <c r="C43" s="134"/>
      <c r="D43" s="130" t="s">
        <v>260</v>
      </c>
      <c r="E43" s="139"/>
      <c r="F43" s="130" t="s">
        <v>95</v>
      </c>
      <c r="G43" s="134"/>
      <c r="H43" s="134" t="s">
        <v>188</v>
      </c>
      <c r="I43" s="134"/>
      <c r="J43" s="134" t="s">
        <v>261</v>
      </c>
      <c r="K43" s="134"/>
      <c r="L43" s="130" t="s">
        <v>260</v>
      </c>
      <c r="M43" s="139"/>
      <c r="N43" s="130" t="s">
        <v>95</v>
      </c>
      <c r="O43" s="134"/>
      <c r="P43" s="134" t="s">
        <v>188</v>
      </c>
      <c r="Q43" s="11"/>
      <c r="R43" s="11" t="s">
        <v>261</v>
      </c>
    </row>
    <row r="44" spans="1:18" hidden="1" x14ac:dyDescent="0.25">
      <c r="A44" s="130"/>
      <c r="B44" s="149" t="s">
        <v>186</v>
      </c>
      <c r="C44" s="130"/>
      <c r="D44" s="130"/>
      <c r="E44" s="139"/>
      <c r="F44" s="130"/>
      <c r="G44" s="134"/>
      <c r="H44" s="134"/>
      <c r="I44" s="134"/>
      <c r="J44" s="134"/>
      <c r="K44" s="134"/>
      <c r="L44" s="130"/>
      <c r="M44" s="139"/>
      <c r="N44" s="130"/>
      <c r="O44" s="134"/>
      <c r="P44" s="134"/>
      <c r="Q44" s="11"/>
      <c r="R44" s="11"/>
    </row>
    <row r="45" spans="1:18" hidden="1" x14ac:dyDescent="0.25">
      <c r="A45" s="130"/>
      <c r="B45" s="150" t="s">
        <v>216</v>
      </c>
      <c r="C45" s="130"/>
      <c r="D45" s="130">
        <v>-2</v>
      </c>
      <c r="E45" s="139"/>
      <c r="F45" s="130"/>
      <c r="G45" s="134"/>
      <c r="H45" s="134">
        <v>2</v>
      </c>
      <c r="I45" s="134"/>
      <c r="J45" s="134"/>
      <c r="K45" s="134"/>
      <c r="L45" s="130">
        <f>IF($B$17=$B45,D45,0)</f>
        <v>0</v>
      </c>
      <c r="M45" s="139"/>
      <c r="N45" s="130">
        <f>IF($B$17=$B45,F45,0)</f>
        <v>0</v>
      </c>
      <c r="O45" s="134"/>
      <c r="P45" s="130">
        <f>IF($B$17=$B45,H45,0)</f>
        <v>0</v>
      </c>
      <c r="Q45" s="11"/>
      <c r="R45">
        <f>IF($B$17=$B45,J45,0)</f>
        <v>0</v>
      </c>
    </row>
    <row r="46" spans="1:18" hidden="1" x14ac:dyDescent="0.25">
      <c r="A46" s="130"/>
      <c r="B46" s="150" t="s">
        <v>217</v>
      </c>
      <c r="C46" s="130"/>
      <c r="D46" s="130"/>
      <c r="E46" s="139"/>
      <c r="F46" s="130"/>
      <c r="G46" s="134"/>
      <c r="H46" s="134"/>
      <c r="I46" s="134"/>
      <c r="J46" s="134"/>
      <c r="K46" s="134"/>
      <c r="L46" s="130">
        <f t="shared" ref="L46:L56" si="0">IF($B$17=B46,D46,0)</f>
        <v>0</v>
      </c>
      <c r="M46" s="139"/>
      <c r="N46" s="130">
        <f t="shared" ref="N46:R56" si="1">IF($B$17=$B46,F46,0)</f>
        <v>0</v>
      </c>
      <c r="O46" s="134"/>
      <c r="P46" s="130">
        <f t="shared" si="1"/>
        <v>0</v>
      </c>
      <c r="Q46" s="11"/>
      <c r="R46">
        <f t="shared" si="1"/>
        <v>0</v>
      </c>
    </row>
    <row r="47" spans="1:18" hidden="1" x14ac:dyDescent="0.25">
      <c r="A47" s="130"/>
      <c r="B47" s="150" t="s">
        <v>218</v>
      </c>
      <c r="C47" s="130"/>
      <c r="D47" s="130">
        <v>-2</v>
      </c>
      <c r="E47" s="139"/>
      <c r="F47" s="130">
        <v>2</v>
      </c>
      <c r="G47" s="134"/>
      <c r="H47" s="134"/>
      <c r="I47" s="134"/>
      <c r="J47" s="134"/>
      <c r="K47" s="134"/>
      <c r="L47" s="130">
        <f t="shared" si="0"/>
        <v>0</v>
      </c>
      <c r="M47" s="139"/>
      <c r="N47" s="130">
        <f t="shared" si="1"/>
        <v>0</v>
      </c>
      <c r="O47" s="134"/>
      <c r="P47" s="130">
        <f t="shared" si="1"/>
        <v>0</v>
      </c>
      <c r="Q47" s="11"/>
      <c r="R47">
        <f t="shared" si="1"/>
        <v>0</v>
      </c>
    </row>
    <row r="48" spans="1:18" hidden="1" x14ac:dyDescent="0.25">
      <c r="A48" s="130"/>
      <c r="B48" s="150" t="s">
        <v>219</v>
      </c>
      <c r="C48" s="130"/>
      <c r="D48" s="130"/>
      <c r="E48" s="139"/>
      <c r="F48" s="130"/>
      <c r="G48" s="134"/>
      <c r="H48" s="134"/>
      <c r="I48" s="134"/>
      <c r="J48" s="134"/>
      <c r="K48" s="134"/>
      <c r="L48" s="130">
        <f t="shared" si="0"/>
        <v>0</v>
      </c>
      <c r="M48" s="139"/>
      <c r="N48" s="130">
        <f t="shared" si="1"/>
        <v>0</v>
      </c>
      <c r="O48" s="134"/>
      <c r="P48" s="130">
        <f t="shared" si="1"/>
        <v>0</v>
      </c>
      <c r="Q48" s="11"/>
      <c r="R48">
        <f t="shared" si="1"/>
        <v>0</v>
      </c>
    </row>
    <row r="49" spans="1:18" hidden="1" x14ac:dyDescent="0.25">
      <c r="A49" s="130"/>
      <c r="B49" s="150" t="s">
        <v>220</v>
      </c>
      <c r="C49" s="130"/>
      <c r="D49" s="130">
        <v>2</v>
      </c>
      <c r="E49" s="139"/>
      <c r="F49" s="130">
        <v>-2</v>
      </c>
      <c r="G49" s="134"/>
      <c r="H49" s="134"/>
      <c r="I49" s="134"/>
      <c r="J49" s="134"/>
      <c r="K49" s="134"/>
      <c r="L49" s="130">
        <f t="shared" si="0"/>
        <v>0</v>
      </c>
      <c r="M49" s="139"/>
      <c r="N49" s="130">
        <f t="shared" si="1"/>
        <v>0</v>
      </c>
      <c r="O49" s="134"/>
      <c r="P49" s="130">
        <f t="shared" si="1"/>
        <v>0</v>
      </c>
      <c r="Q49" s="11"/>
      <c r="R49">
        <f t="shared" si="1"/>
        <v>0</v>
      </c>
    </row>
    <row r="50" spans="1:18" hidden="1" x14ac:dyDescent="0.25">
      <c r="A50" s="130"/>
      <c r="B50" s="150" t="s">
        <v>221</v>
      </c>
      <c r="C50" s="130"/>
      <c r="D50" s="130"/>
      <c r="E50" s="139"/>
      <c r="F50" s="130"/>
      <c r="G50" s="134"/>
      <c r="H50" s="134"/>
      <c r="I50" s="134"/>
      <c r="J50" s="134"/>
      <c r="K50" s="134"/>
      <c r="L50" s="130">
        <f t="shared" si="0"/>
        <v>0</v>
      </c>
      <c r="M50" s="139"/>
      <c r="N50" s="130">
        <f t="shared" si="1"/>
        <v>0</v>
      </c>
      <c r="O50" s="134"/>
      <c r="P50" s="130">
        <f t="shared" si="1"/>
        <v>0</v>
      </c>
      <c r="Q50" s="11"/>
      <c r="R50">
        <f t="shared" si="1"/>
        <v>0</v>
      </c>
    </row>
    <row r="51" spans="1:18" hidden="1" x14ac:dyDescent="0.25">
      <c r="A51" s="130"/>
      <c r="B51" s="150" t="s">
        <v>222</v>
      </c>
      <c r="C51" s="130"/>
      <c r="D51" s="130">
        <v>-4</v>
      </c>
      <c r="E51" s="139"/>
      <c r="F51" s="130">
        <v>4</v>
      </c>
      <c r="G51" s="134"/>
      <c r="H51" s="134"/>
      <c r="I51" s="134"/>
      <c r="J51" s="134"/>
      <c r="K51" s="134"/>
      <c r="L51" s="130">
        <f t="shared" si="0"/>
        <v>0</v>
      </c>
      <c r="M51" s="139"/>
      <c r="N51" s="130">
        <f t="shared" si="1"/>
        <v>0</v>
      </c>
      <c r="O51" s="134"/>
      <c r="P51" s="130">
        <f t="shared" si="1"/>
        <v>0</v>
      </c>
      <c r="Q51" s="11"/>
      <c r="R51">
        <f t="shared" si="1"/>
        <v>0</v>
      </c>
    </row>
    <row r="52" spans="1:18" hidden="1" x14ac:dyDescent="0.25">
      <c r="A52" s="130"/>
      <c r="B52" s="150" t="s">
        <v>223</v>
      </c>
      <c r="C52" s="130"/>
      <c r="D52" s="130">
        <v>4</v>
      </c>
      <c r="E52" s="139"/>
      <c r="F52" s="130">
        <v>-4</v>
      </c>
      <c r="G52" s="134"/>
      <c r="H52" s="134"/>
      <c r="I52" s="134"/>
      <c r="J52" s="134"/>
      <c r="K52" s="134"/>
      <c r="L52" s="130">
        <f t="shared" si="0"/>
        <v>0</v>
      </c>
      <c r="M52" s="139"/>
      <c r="N52" s="130">
        <f t="shared" si="1"/>
        <v>0</v>
      </c>
      <c r="O52" s="134"/>
      <c r="P52" s="130">
        <f t="shared" si="1"/>
        <v>0</v>
      </c>
      <c r="Q52" s="11"/>
      <c r="R52">
        <f t="shared" si="1"/>
        <v>0</v>
      </c>
    </row>
    <row r="53" spans="1:18" hidden="1" x14ac:dyDescent="0.25">
      <c r="A53" s="130"/>
      <c r="B53" s="150" t="s">
        <v>262</v>
      </c>
      <c r="C53" s="130"/>
      <c r="D53" s="130"/>
      <c r="E53" s="139"/>
      <c r="F53" s="130"/>
      <c r="G53" s="134"/>
      <c r="H53" s="134"/>
      <c r="I53" s="134"/>
      <c r="J53" s="134"/>
      <c r="K53" s="134"/>
      <c r="L53" s="130">
        <f t="shared" si="0"/>
        <v>0</v>
      </c>
      <c r="M53" s="134"/>
      <c r="N53" s="130">
        <f t="shared" si="1"/>
        <v>0</v>
      </c>
      <c r="O53" s="130"/>
      <c r="P53" s="130">
        <f t="shared" si="1"/>
        <v>0</v>
      </c>
      <c r="R53">
        <f t="shared" si="1"/>
        <v>0</v>
      </c>
    </row>
    <row r="54" spans="1:18" hidden="1" x14ac:dyDescent="0.25">
      <c r="A54" s="130"/>
      <c r="B54" s="150" t="s">
        <v>225</v>
      </c>
      <c r="C54" s="130"/>
      <c r="D54" s="130"/>
      <c r="E54" s="139"/>
      <c r="F54" s="130"/>
      <c r="G54" s="134"/>
      <c r="H54" s="134"/>
      <c r="I54" s="134"/>
      <c r="J54" s="134"/>
      <c r="K54" s="134"/>
      <c r="L54" s="130">
        <f t="shared" si="0"/>
        <v>0</v>
      </c>
      <c r="M54" s="134"/>
      <c r="N54" s="130">
        <f t="shared" si="1"/>
        <v>0</v>
      </c>
      <c r="O54" s="130"/>
      <c r="P54" s="130">
        <f t="shared" si="1"/>
        <v>0</v>
      </c>
      <c r="R54">
        <f t="shared" si="1"/>
        <v>0</v>
      </c>
    </row>
    <row r="55" spans="1:18" hidden="1" x14ac:dyDescent="0.25">
      <c r="A55" s="130"/>
      <c r="B55" s="150" t="s">
        <v>226</v>
      </c>
      <c r="C55" s="130"/>
      <c r="D55" s="130"/>
      <c r="E55" s="139"/>
      <c r="F55" s="130"/>
      <c r="G55" s="134"/>
      <c r="H55" s="134"/>
      <c r="I55" s="134"/>
      <c r="J55" s="134"/>
      <c r="K55" s="134"/>
      <c r="L55" s="130">
        <f t="shared" si="0"/>
        <v>0</v>
      </c>
      <c r="M55" s="134"/>
      <c r="N55" s="130">
        <f t="shared" si="1"/>
        <v>0</v>
      </c>
      <c r="O55" s="130"/>
      <c r="P55" s="130">
        <f t="shared" si="1"/>
        <v>0</v>
      </c>
      <c r="R55">
        <f t="shared" si="1"/>
        <v>0</v>
      </c>
    </row>
    <row r="56" spans="1:18" ht="15.75" hidden="1" thickBot="1" x14ac:dyDescent="0.3">
      <c r="A56" s="130"/>
      <c r="B56" s="151" t="s">
        <v>227</v>
      </c>
      <c r="C56" s="130"/>
      <c r="D56" s="130"/>
      <c r="E56" s="139"/>
      <c r="F56" s="130"/>
      <c r="G56" s="134"/>
      <c r="H56" s="134"/>
      <c r="I56" s="134"/>
      <c r="J56" s="134"/>
      <c r="K56" s="134"/>
      <c r="L56" s="130">
        <f t="shared" si="0"/>
        <v>0</v>
      </c>
      <c r="M56" s="134"/>
      <c r="N56" s="130">
        <f t="shared" si="1"/>
        <v>0</v>
      </c>
      <c r="O56" s="130"/>
      <c r="P56" s="130">
        <f t="shared" si="1"/>
        <v>0</v>
      </c>
      <c r="R56">
        <f t="shared" si="1"/>
        <v>0</v>
      </c>
    </row>
    <row r="57" spans="1:18" hidden="1" x14ac:dyDescent="0.25">
      <c r="A57" s="130"/>
      <c r="B57" s="130"/>
      <c r="C57" s="130"/>
      <c r="D57" s="130"/>
      <c r="E57" s="139"/>
      <c r="F57" s="130"/>
      <c r="G57" s="134"/>
      <c r="H57" s="134"/>
      <c r="I57" s="134"/>
      <c r="J57" s="134"/>
      <c r="K57" s="134"/>
      <c r="L57" s="134">
        <f>SUM(L45:L56)</f>
        <v>0</v>
      </c>
      <c r="M57" s="134"/>
      <c r="N57" s="134">
        <f>SUM(N45:N56)</f>
        <v>0</v>
      </c>
      <c r="O57" s="130"/>
      <c r="P57" s="134">
        <f>SUM(P45:P56)</f>
        <v>0</v>
      </c>
      <c r="R57" s="11">
        <f>SUM(R45:R56)</f>
        <v>0</v>
      </c>
    </row>
    <row r="58" spans="1:18" hidden="1" x14ac:dyDescent="0.25">
      <c r="A58" s="130"/>
      <c r="B58" s="149" t="s">
        <v>56</v>
      </c>
      <c r="C58" s="130"/>
      <c r="D58" s="130"/>
      <c r="E58" s="139"/>
      <c r="F58" s="130"/>
      <c r="G58" s="134"/>
      <c r="H58" s="134"/>
      <c r="I58" s="134"/>
      <c r="J58" s="134"/>
      <c r="K58" s="134"/>
      <c r="L58" s="134"/>
      <c r="M58" s="134"/>
      <c r="N58" s="130"/>
      <c r="O58" s="130"/>
      <c r="P58" s="130"/>
    </row>
    <row r="59" spans="1:18" hidden="1" x14ac:dyDescent="0.25">
      <c r="A59" s="130"/>
      <c r="B59" s="150" t="s">
        <v>263</v>
      </c>
      <c r="C59" s="130"/>
      <c r="D59" s="130">
        <v>2</v>
      </c>
      <c r="E59" s="139"/>
      <c r="F59" s="130">
        <v>2</v>
      </c>
      <c r="G59" s="134"/>
      <c r="H59" s="134"/>
      <c r="I59" s="134"/>
      <c r="J59" s="134">
        <v>1</v>
      </c>
      <c r="K59" s="134"/>
      <c r="L59" s="130">
        <f>IF(OR($F$17=$B59,$F$19=$B59,$F$21=$B59,$F$23=$B59)=TRUE,D59,0)</f>
        <v>0</v>
      </c>
      <c r="M59" s="134"/>
      <c r="N59" s="130">
        <f>IF(OR($F$17=$B59,$F$19=$B59,$F$21=$B59,$F$23=$B59)=TRUE,F59,0)</f>
        <v>0</v>
      </c>
      <c r="O59" s="130"/>
      <c r="P59" s="130">
        <f>IF(OR($F$17=$B59,$F$19=$B59,$F$21=$B59,$F$23=$B59)=TRUE,H59,0)</f>
        <v>0</v>
      </c>
      <c r="R59">
        <f>IF(OR($F$17=$B59,$F$19=$B59,$F$21=$B59,$F$23=$B59)=TRUE,J59,0)</f>
        <v>0</v>
      </c>
    </row>
    <row r="60" spans="1:18" hidden="1" x14ac:dyDescent="0.25">
      <c r="A60" s="130"/>
      <c r="B60" s="150" t="s">
        <v>264</v>
      </c>
      <c r="C60" s="130"/>
      <c r="D60" s="130">
        <v>2</v>
      </c>
      <c r="E60" s="139"/>
      <c r="F60" s="130">
        <v>2</v>
      </c>
      <c r="G60" s="134"/>
      <c r="H60" s="134"/>
      <c r="I60" s="134"/>
      <c r="J60" s="134">
        <v>2</v>
      </c>
      <c r="K60" s="134"/>
      <c r="L60" s="130">
        <f t="shared" ref="L60:R71" si="2">IF(OR($F$17=$B60,$F$19=$B60,$F$21=$B60,$F$23=$B60)=TRUE,D60,0)</f>
        <v>0</v>
      </c>
      <c r="M60" s="134"/>
      <c r="N60" s="130">
        <f t="shared" si="2"/>
        <v>0</v>
      </c>
      <c r="O60" s="130"/>
      <c r="P60" s="130">
        <f t="shared" si="2"/>
        <v>0</v>
      </c>
      <c r="R60">
        <f t="shared" si="2"/>
        <v>0</v>
      </c>
    </row>
    <row r="61" spans="1:18" hidden="1" x14ac:dyDescent="0.25">
      <c r="A61" s="130"/>
      <c r="B61" s="150" t="s">
        <v>265</v>
      </c>
      <c r="C61" s="130"/>
      <c r="D61" s="130">
        <v>2</v>
      </c>
      <c r="E61" s="139"/>
      <c r="F61" s="130">
        <v>2</v>
      </c>
      <c r="G61" s="134"/>
      <c r="H61" s="134"/>
      <c r="I61" s="134"/>
      <c r="J61" s="134">
        <v>3</v>
      </c>
      <c r="K61" s="134"/>
      <c r="L61" s="130">
        <f t="shared" si="2"/>
        <v>0</v>
      </c>
      <c r="M61" s="134"/>
      <c r="N61" s="130">
        <f t="shared" si="2"/>
        <v>0</v>
      </c>
      <c r="O61" s="130"/>
      <c r="P61" s="130">
        <f t="shared" si="2"/>
        <v>0</v>
      </c>
      <c r="R61">
        <f t="shared" si="2"/>
        <v>0</v>
      </c>
    </row>
    <row r="62" spans="1:18" hidden="1" x14ac:dyDescent="0.25">
      <c r="A62" s="130"/>
      <c r="B62" s="150" t="s">
        <v>266</v>
      </c>
      <c r="C62" s="130"/>
      <c r="D62" s="130">
        <v>2</v>
      </c>
      <c r="E62" s="139"/>
      <c r="F62" s="130">
        <v>2</v>
      </c>
      <c r="G62" s="134"/>
      <c r="H62" s="134"/>
      <c r="I62" s="134"/>
      <c r="J62" s="134">
        <v>4</v>
      </c>
      <c r="K62" s="134"/>
      <c r="L62" s="130">
        <f t="shared" si="2"/>
        <v>0</v>
      </c>
      <c r="M62" s="134"/>
      <c r="N62" s="130">
        <f t="shared" si="2"/>
        <v>0</v>
      </c>
      <c r="O62" s="130"/>
      <c r="P62" s="130">
        <f t="shared" si="2"/>
        <v>0</v>
      </c>
      <c r="R62">
        <f t="shared" si="2"/>
        <v>0</v>
      </c>
    </row>
    <row r="63" spans="1:18" hidden="1" x14ac:dyDescent="0.25">
      <c r="A63" s="130"/>
      <c r="B63" s="150" t="s">
        <v>267</v>
      </c>
      <c r="C63" s="130"/>
      <c r="D63" s="130">
        <v>2</v>
      </c>
      <c r="E63" s="139"/>
      <c r="F63" s="130">
        <v>2</v>
      </c>
      <c r="G63" s="134"/>
      <c r="H63" s="134"/>
      <c r="I63" s="134"/>
      <c r="J63" s="134">
        <v>5</v>
      </c>
      <c r="K63" s="134"/>
      <c r="L63" s="130">
        <f t="shared" si="2"/>
        <v>0</v>
      </c>
      <c r="M63" s="134"/>
      <c r="N63" s="130">
        <f t="shared" si="2"/>
        <v>0</v>
      </c>
      <c r="O63" s="130"/>
      <c r="P63" s="130">
        <f t="shared" si="2"/>
        <v>0</v>
      </c>
      <c r="R63">
        <f t="shared" si="2"/>
        <v>0</v>
      </c>
    </row>
    <row r="64" spans="1:18" hidden="1" x14ac:dyDescent="0.25">
      <c r="A64" s="130"/>
      <c r="B64" s="150" t="s">
        <v>228</v>
      </c>
      <c r="C64" s="130"/>
      <c r="D64" s="130">
        <v>1</v>
      </c>
      <c r="E64" s="139"/>
      <c r="F64" s="130"/>
      <c r="G64" s="134"/>
      <c r="H64" s="134"/>
      <c r="I64" s="134"/>
      <c r="J64" s="134">
        <v>5</v>
      </c>
      <c r="K64" s="134"/>
      <c r="L64" s="130">
        <f t="shared" si="2"/>
        <v>0</v>
      </c>
      <c r="M64" s="134"/>
      <c r="N64" s="130">
        <f t="shared" si="2"/>
        <v>0</v>
      </c>
      <c r="O64" s="130"/>
      <c r="P64" s="130">
        <f t="shared" si="2"/>
        <v>0</v>
      </c>
      <c r="R64">
        <f t="shared" si="2"/>
        <v>0</v>
      </c>
    </row>
    <row r="65" spans="1:18" hidden="1" x14ac:dyDescent="0.25">
      <c r="A65" s="130"/>
      <c r="B65" s="150" t="s">
        <v>229</v>
      </c>
      <c r="C65" s="130"/>
      <c r="D65" s="130">
        <v>2</v>
      </c>
      <c r="E65" s="139"/>
      <c r="F65" s="130"/>
      <c r="G65" s="134"/>
      <c r="H65" s="134"/>
      <c r="I65" s="134"/>
      <c r="J65" s="134">
        <v>50</v>
      </c>
      <c r="K65" s="134"/>
      <c r="L65" s="130">
        <f t="shared" si="2"/>
        <v>0</v>
      </c>
      <c r="M65" s="134"/>
      <c r="N65" s="130">
        <f t="shared" si="2"/>
        <v>0</v>
      </c>
      <c r="O65" s="130"/>
      <c r="P65" s="130">
        <f t="shared" si="2"/>
        <v>0</v>
      </c>
      <c r="R65">
        <f t="shared" si="2"/>
        <v>0</v>
      </c>
    </row>
    <row r="66" spans="1:18" hidden="1" x14ac:dyDescent="0.25">
      <c r="A66" s="130"/>
      <c r="B66" s="150" t="s">
        <v>230</v>
      </c>
      <c r="C66" s="130"/>
      <c r="D66" s="130"/>
      <c r="E66" s="139"/>
      <c r="F66" s="130">
        <v>1</v>
      </c>
      <c r="G66" s="134"/>
      <c r="H66" s="134"/>
      <c r="I66" s="134"/>
      <c r="J66" s="134">
        <v>3</v>
      </c>
      <c r="K66" s="134"/>
      <c r="L66" s="130">
        <f t="shared" si="2"/>
        <v>0</v>
      </c>
      <c r="M66" s="134"/>
      <c r="N66" s="130">
        <f t="shared" si="2"/>
        <v>0</v>
      </c>
      <c r="O66" s="130"/>
      <c r="P66" s="130">
        <f t="shared" si="2"/>
        <v>0</v>
      </c>
      <c r="R66">
        <f t="shared" si="2"/>
        <v>0</v>
      </c>
    </row>
    <row r="67" spans="1:18" hidden="1" x14ac:dyDescent="0.25">
      <c r="A67" s="130"/>
      <c r="B67" s="150" t="s">
        <v>231</v>
      </c>
      <c r="C67" s="130"/>
      <c r="D67" s="130"/>
      <c r="E67" s="139"/>
      <c r="F67" s="130">
        <v>2</v>
      </c>
      <c r="G67" s="134"/>
      <c r="H67" s="134"/>
      <c r="I67" s="134"/>
      <c r="J67" s="134">
        <v>15</v>
      </c>
      <c r="K67" s="134"/>
      <c r="L67" s="130">
        <f t="shared" si="2"/>
        <v>0</v>
      </c>
      <c r="M67" s="134"/>
      <c r="N67" s="130">
        <f t="shared" si="2"/>
        <v>0</v>
      </c>
      <c r="O67" s="130"/>
      <c r="P67" s="130">
        <f t="shared" si="2"/>
        <v>0</v>
      </c>
      <c r="R67">
        <f t="shared" si="2"/>
        <v>0</v>
      </c>
    </row>
    <row r="68" spans="1:18" hidden="1" x14ac:dyDescent="0.25">
      <c r="A68" s="130"/>
      <c r="B68" s="150" t="s">
        <v>232</v>
      </c>
      <c r="C68" s="130"/>
      <c r="D68" s="130"/>
      <c r="E68" s="139"/>
      <c r="F68" s="130"/>
      <c r="G68" s="134"/>
      <c r="H68" s="134"/>
      <c r="I68" s="134"/>
      <c r="J68" s="134">
        <v>10</v>
      </c>
      <c r="K68" s="134"/>
      <c r="L68" s="130">
        <f t="shared" si="2"/>
        <v>0</v>
      </c>
      <c r="M68" s="134"/>
      <c r="N68" s="130">
        <f t="shared" si="2"/>
        <v>0</v>
      </c>
      <c r="O68" s="130"/>
      <c r="P68" s="130">
        <f t="shared" si="2"/>
        <v>0</v>
      </c>
      <c r="R68">
        <f t="shared" si="2"/>
        <v>0</v>
      </c>
    </row>
    <row r="69" spans="1:18" hidden="1" x14ac:dyDescent="0.25">
      <c r="A69" s="130"/>
      <c r="B69" s="150" t="s">
        <v>233</v>
      </c>
      <c r="C69" s="130"/>
      <c r="D69" s="130"/>
      <c r="E69" s="139"/>
      <c r="F69" s="130"/>
      <c r="G69" s="134"/>
      <c r="H69" s="134"/>
      <c r="I69" s="134"/>
      <c r="J69" s="134">
        <v>2</v>
      </c>
      <c r="K69" s="134"/>
      <c r="L69" s="130">
        <f t="shared" si="2"/>
        <v>0</v>
      </c>
      <c r="M69" s="134"/>
      <c r="N69" s="130">
        <f t="shared" si="2"/>
        <v>0</v>
      </c>
      <c r="O69" s="130"/>
      <c r="P69" s="130">
        <f t="shared" si="2"/>
        <v>0</v>
      </c>
      <c r="R69">
        <f t="shared" si="2"/>
        <v>0</v>
      </c>
    </row>
    <row r="70" spans="1:18" hidden="1" x14ac:dyDescent="0.25">
      <c r="A70" s="130"/>
      <c r="B70" s="150" t="s">
        <v>234</v>
      </c>
      <c r="C70" s="130"/>
      <c r="D70" s="130"/>
      <c r="E70" s="139"/>
      <c r="F70" s="130"/>
      <c r="G70" s="134"/>
      <c r="H70" s="134"/>
      <c r="I70" s="134"/>
      <c r="J70" s="134">
        <v>15</v>
      </c>
      <c r="K70" s="134"/>
      <c r="L70" s="130">
        <f t="shared" si="2"/>
        <v>0</v>
      </c>
      <c r="M70" s="134"/>
      <c r="N70" s="130">
        <f t="shared" si="2"/>
        <v>0</v>
      </c>
      <c r="O70" s="130"/>
      <c r="P70" s="130">
        <f t="shared" si="2"/>
        <v>0</v>
      </c>
      <c r="R70">
        <f t="shared" si="2"/>
        <v>0</v>
      </c>
    </row>
    <row r="71" spans="1:18" ht="15.75" hidden="1" thickBot="1" x14ac:dyDescent="0.3">
      <c r="A71" s="130"/>
      <c r="B71" s="151" t="s">
        <v>253</v>
      </c>
      <c r="C71" s="130"/>
      <c r="D71" s="130"/>
      <c r="E71" s="139"/>
      <c r="F71" s="130"/>
      <c r="G71" s="134"/>
      <c r="H71" s="134"/>
      <c r="I71" s="134"/>
      <c r="J71" s="134">
        <v>10</v>
      </c>
      <c r="K71" s="134"/>
      <c r="L71" s="130">
        <f t="shared" si="2"/>
        <v>0</v>
      </c>
      <c r="M71" s="134"/>
      <c r="N71" s="130">
        <f t="shared" si="2"/>
        <v>0</v>
      </c>
      <c r="O71" s="130"/>
      <c r="P71" s="130">
        <f t="shared" si="2"/>
        <v>0</v>
      </c>
      <c r="R71">
        <f t="shared" si="2"/>
        <v>0</v>
      </c>
    </row>
    <row r="72" spans="1:18" hidden="1" x14ac:dyDescent="0.25">
      <c r="A72" s="130"/>
      <c r="B72" s="130"/>
      <c r="C72" s="130"/>
      <c r="D72" s="130"/>
      <c r="E72" s="139"/>
      <c r="F72" s="130"/>
      <c r="G72" s="134"/>
      <c r="H72" s="134"/>
      <c r="I72" s="134"/>
      <c r="J72" s="134"/>
      <c r="K72" s="134"/>
      <c r="L72" s="134">
        <f>SUM(L59:L71)</f>
        <v>0</v>
      </c>
      <c r="M72" s="134"/>
      <c r="N72" s="134">
        <f>SUM(N59:N71)</f>
        <v>0</v>
      </c>
      <c r="O72" s="130"/>
      <c r="P72" s="134">
        <f>SUM(P59:P71)</f>
        <v>0</v>
      </c>
      <c r="R72" s="11">
        <f>SUM(R59:R71)</f>
        <v>0</v>
      </c>
    </row>
    <row r="73" spans="1:18" hidden="1" x14ac:dyDescent="0.25">
      <c r="A73" s="130"/>
      <c r="B73" s="149" t="s">
        <v>235</v>
      </c>
      <c r="C73" s="130"/>
      <c r="D73" s="130"/>
      <c r="E73" s="139"/>
      <c r="F73" s="130"/>
      <c r="G73" s="134"/>
      <c r="H73" s="134"/>
      <c r="I73" s="134"/>
      <c r="J73" s="134"/>
      <c r="K73" s="134"/>
      <c r="L73" s="130"/>
      <c r="M73" s="134"/>
      <c r="N73" s="130"/>
      <c r="O73" s="130"/>
      <c r="P73" s="130"/>
    </row>
    <row r="74" spans="1:18" hidden="1" x14ac:dyDescent="0.25">
      <c r="A74" s="130"/>
      <c r="B74" s="150" t="s">
        <v>236</v>
      </c>
      <c r="C74" s="130"/>
      <c r="D74" s="130"/>
      <c r="E74" s="139"/>
      <c r="F74" s="130"/>
      <c r="G74" s="134"/>
      <c r="H74" s="134"/>
      <c r="I74" s="134"/>
      <c r="J74" s="134"/>
      <c r="K74" s="134"/>
      <c r="L74" s="130">
        <f>IF(OR($B$31=$B74,$B$33=$B74,$B$35=$B74,$B$35=$B74,$B$37=$B74,$B$39=$B74)=TRUE,D74,0)</f>
        <v>0</v>
      </c>
      <c r="M74" s="134"/>
      <c r="N74" s="130">
        <f t="shared" ref="N74:N90" si="3">IF(OR($B$31=$B74,$B$33=$B74,$B$35=$B74,$B$35=$B74,$B$37=$B74,$B$39=$B74)=TRUE,F74,0)</f>
        <v>0</v>
      </c>
      <c r="O74" s="130"/>
      <c r="P74" s="130">
        <f t="shared" ref="P74:P90" si="4">IF(OR($B$31=$B74,$B$33=$B74,$B$35=$B74,$B$35=$B74,$B$37=$B74,$B$39=$B74)=TRUE,H74,0)</f>
        <v>0</v>
      </c>
      <c r="R74">
        <f t="shared" ref="R74:R90" si="5">IF(OR($B$31=$B74,$B$33=$B74,$B$35=$B74,$B$35=$B74,$B$37=$B74,$B$39=$B74)=TRUE,J74,0)</f>
        <v>0</v>
      </c>
    </row>
    <row r="75" spans="1:18" hidden="1" x14ac:dyDescent="0.25">
      <c r="A75" s="130"/>
      <c r="B75" s="150" t="s">
        <v>240</v>
      </c>
      <c r="C75" s="130"/>
      <c r="D75" s="130"/>
      <c r="E75" s="139"/>
      <c r="F75" s="130"/>
      <c r="G75" s="134"/>
      <c r="H75" s="134"/>
      <c r="I75" s="134"/>
      <c r="J75" s="134"/>
      <c r="K75" s="134"/>
      <c r="L75" s="130">
        <f t="shared" ref="L75:L90" si="6">IF(OR($B$31=$B75,$B$33=$B75,$B$35=$B75,$B$35=$B75,$B$37=$B75,$B$39=$B75)=TRUE,D75,0)</f>
        <v>0</v>
      </c>
      <c r="M75" s="134"/>
      <c r="N75" s="130">
        <f t="shared" si="3"/>
        <v>0</v>
      </c>
      <c r="O75" s="130"/>
      <c r="P75" s="130">
        <f t="shared" si="4"/>
        <v>0</v>
      </c>
      <c r="R75">
        <f t="shared" si="5"/>
        <v>0</v>
      </c>
    </row>
    <row r="76" spans="1:18" hidden="1" x14ac:dyDescent="0.25">
      <c r="A76" s="130"/>
      <c r="B76" s="150" t="s">
        <v>251</v>
      </c>
      <c r="C76" s="130"/>
      <c r="D76" s="130"/>
      <c r="E76" s="139"/>
      <c r="F76" s="130"/>
      <c r="G76" s="134"/>
      <c r="H76" s="134"/>
      <c r="I76" s="134"/>
      <c r="J76" s="134">
        <v>-1</v>
      </c>
      <c r="K76" s="134"/>
      <c r="L76" s="130">
        <f t="shared" si="6"/>
        <v>0</v>
      </c>
      <c r="M76" s="134"/>
      <c r="N76" s="130">
        <f t="shared" si="3"/>
        <v>0</v>
      </c>
      <c r="O76" s="130"/>
      <c r="P76" s="130">
        <f t="shared" si="4"/>
        <v>0</v>
      </c>
      <c r="R76">
        <f t="shared" si="5"/>
        <v>0</v>
      </c>
    </row>
    <row r="77" spans="1:18" hidden="1" x14ac:dyDescent="0.25">
      <c r="A77" s="130"/>
      <c r="B77" s="150" t="s">
        <v>237</v>
      </c>
      <c r="C77" s="134"/>
      <c r="D77" s="130"/>
      <c r="E77" s="139"/>
      <c r="F77" s="130"/>
      <c r="G77" s="134"/>
      <c r="H77" s="134"/>
      <c r="I77" s="134"/>
      <c r="J77" s="134"/>
      <c r="K77" s="134"/>
      <c r="L77" s="130">
        <f t="shared" si="6"/>
        <v>0</v>
      </c>
      <c r="M77" s="134"/>
      <c r="N77" s="130">
        <f t="shared" si="3"/>
        <v>0</v>
      </c>
      <c r="O77" s="130"/>
      <c r="P77" s="130">
        <f t="shared" si="4"/>
        <v>0</v>
      </c>
      <c r="R77">
        <f t="shared" si="5"/>
        <v>0</v>
      </c>
    </row>
    <row r="78" spans="1:18" hidden="1" x14ac:dyDescent="0.25">
      <c r="A78" s="130"/>
      <c r="B78" s="150" t="s">
        <v>239</v>
      </c>
      <c r="C78" s="134"/>
      <c r="D78" s="130"/>
      <c r="E78" s="139"/>
      <c r="F78" s="130"/>
      <c r="G78" s="134"/>
      <c r="H78" s="134"/>
      <c r="I78" s="134"/>
      <c r="J78" s="134"/>
      <c r="K78" s="134"/>
      <c r="L78" s="130">
        <f t="shared" si="6"/>
        <v>0</v>
      </c>
      <c r="M78" s="134"/>
      <c r="N78" s="130">
        <f t="shared" si="3"/>
        <v>0</v>
      </c>
      <c r="O78" s="130"/>
      <c r="P78" s="130">
        <f t="shared" si="4"/>
        <v>0</v>
      </c>
      <c r="R78">
        <f t="shared" si="5"/>
        <v>0</v>
      </c>
    </row>
    <row r="79" spans="1:18" hidden="1" x14ac:dyDescent="0.25">
      <c r="A79" s="130"/>
      <c r="B79" s="150" t="s">
        <v>243</v>
      </c>
      <c r="C79" s="134"/>
      <c r="D79" s="130"/>
      <c r="E79" s="139"/>
      <c r="F79" s="130"/>
      <c r="G79" s="134"/>
      <c r="H79" s="134"/>
      <c r="I79" s="134"/>
      <c r="J79" s="134"/>
      <c r="K79" s="134"/>
      <c r="L79" s="130">
        <f t="shared" si="6"/>
        <v>0</v>
      </c>
      <c r="M79" s="134"/>
      <c r="N79" s="130">
        <f t="shared" si="3"/>
        <v>0</v>
      </c>
      <c r="O79" s="130"/>
      <c r="P79" s="130">
        <f t="shared" si="4"/>
        <v>0</v>
      </c>
      <c r="R79">
        <f t="shared" si="5"/>
        <v>0</v>
      </c>
    </row>
    <row r="80" spans="1:18" hidden="1" x14ac:dyDescent="0.25">
      <c r="A80" s="130"/>
      <c r="B80" s="150" t="s">
        <v>252</v>
      </c>
      <c r="C80" s="134"/>
      <c r="D80" s="130"/>
      <c r="E80" s="139"/>
      <c r="F80" s="130"/>
      <c r="G80" s="134"/>
      <c r="H80" s="134"/>
      <c r="I80" s="134"/>
      <c r="J80" s="134"/>
      <c r="K80" s="134"/>
      <c r="L80" s="130">
        <f t="shared" si="6"/>
        <v>0</v>
      </c>
      <c r="M80" s="134"/>
      <c r="N80" s="130">
        <f t="shared" si="3"/>
        <v>0</v>
      </c>
      <c r="O80" s="130"/>
      <c r="P80" s="130">
        <f t="shared" si="4"/>
        <v>0</v>
      </c>
      <c r="R80">
        <f t="shared" si="5"/>
        <v>0</v>
      </c>
    </row>
    <row r="81" spans="1:18" hidden="1" x14ac:dyDescent="0.25">
      <c r="A81" s="130"/>
      <c r="B81" s="150" t="s">
        <v>244</v>
      </c>
      <c r="C81" s="134"/>
      <c r="D81" s="130"/>
      <c r="E81" s="139"/>
      <c r="F81" s="130">
        <v>1</v>
      </c>
      <c r="G81" s="134"/>
      <c r="H81" s="134"/>
      <c r="I81" s="134"/>
      <c r="J81" s="134"/>
      <c r="K81" s="134"/>
      <c r="L81" s="130">
        <f t="shared" si="6"/>
        <v>0</v>
      </c>
      <c r="M81" s="134"/>
      <c r="N81" s="130">
        <f t="shared" si="3"/>
        <v>0</v>
      </c>
      <c r="O81" s="130"/>
      <c r="P81" s="130">
        <f t="shared" si="4"/>
        <v>0</v>
      </c>
      <c r="R81">
        <f t="shared" si="5"/>
        <v>0</v>
      </c>
    </row>
    <row r="82" spans="1:18" hidden="1" x14ac:dyDescent="0.25">
      <c r="A82" s="130"/>
      <c r="B82" s="150" t="s">
        <v>245</v>
      </c>
      <c r="C82" s="134"/>
      <c r="D82" s="130"/>
      <c r="E82" s="139"/>
      <c r="F82" s="130"/>
      <c r="G82" s="134"/>
      <c r="H82" s="134"/>
      <c r="I82" s="134"/>
      <c r="J82" s="134"/>
      <c r="K82" s="134"/>
      <c r="L82" s="130">
        <f t="shared" si="6"/>
        <v>0</v>
      </c>
      <c r="M82" s="134"/>
      <c r="N82" s="130">
        <f t="shared" si="3"/>
        <v>0</v>
      </c>
      <c r="O82" s="130"/>
      <c r="P82" s="130">
        <f t="shared" si="4"/>
        <v>0</v>
      </c>
      <c r="R82">
        <f t="shared" si="5"/>
        <v>0</v>
      </c>
    </row>
    <row r="83" spans="1:18" hidden="1" x14ac:dyDescent="0.25">
      <c r="A83" s="130"/>
      <c r="B83" s="150" t="s">
        <v>241</v>
      </c>
      <c r="C83" s="134"/>
      <c r="D83" s="130"/>
      <c r="E83" s="139"/>
      <c r="F83" s="130"/>
      <c r="G83" s="134"/>
      <c r="H83" s="134"/>
      <c r="I83" s="134"/>
      <c r="J83" s="134"/>
      <c r="K83" s="134"/>
      <c r="L83" s="130">
        <f t="shared" si="6"/>
        <v>0</v>
      </c>
      <c r="M83" s="134"/>
      <c r="N83" s="130">
        <f t="shared" si="3"/>
        <v>0</v>
      </c>
      <c r="O83" s="130"/>
      <c r="P83" s="130">
        <f t="shared" si="4"/>
        <v>0</v>
      </c>
      <c r="R83">
        <f t="shared" si="5"/>
        <v>0</v>
      </c>
    </row>
    <row r="84" spans="1:18" hidden="1" x14ac:dyDescent="0.25">
      <c r="A84" s="130"/>
      <c r="B84" s="150" t="s">
        <v>246</v>
      </c>
      <c r="C84" s="134"/>
      <c r="D84" s="130"/>
      <c r="E84" s="139"/>
      <c r="F84" s="130"/>
      <c r="G84" s="134"/>
      <c r="H84" s="134"/>
      <c r="I84" s="134"/>
      <c r="J84" s="134"/>
      <c r="K84" s="134"/>
      <c r="L84" s="130">
        <f t="shared" si="6"/>
        <v>0</v>
      </c>
      <c r="M84" s="134"/>
      <c r="N84" s="130">
        <f t="shared" si="3"/>
        <v>0</v>
      </c>
      <c r="O84" s="130"/>
      <c r="P84" s="130">
        <f t="shared" si="4"/>
        <v>0</v>
      </c>
      <c r="R84">
        <f t="shared" si="5"/>
        <v>0</v>
      </c>
    </row>
    <row r="85" spans="1:18" hidden="1" x14ac:dyDescent="0.25">
      <c r="A85" s="130"/>
      <c r="B85" s="150" t="s">
        <v>238</v>
      </c>
      <c r="C85" s="134"/>
      <c r="D85" s="130"/>
      <c r="E85" s="139"/>
      <c r="F85" s="130"/>
      <c r="G85" s="134"/>
      <c r="H85" s="134"/>
      <c r="I85" s="134"/>
      <c r="J85" s="134"/>
      <c r="K85" s="134"/>
      <c r="L85" s="130">
        <f t="shared" si="6"/>
        <v>0</v>
      </c>
      <c r="M85" s="134"/>
      <c r="N85" s="130">
        <f t="shared" si="3"/>
        <v>0</v>
      </c>
      <c r="O85" s="130"/>
      <c r="P85" s="130">
        <f t="shared" si="4"/>
        <v>0</v>
      </c>
      <c r="R85">
        <f t="shared" si="5"/>
        <v>0</v>
      </c>
    </row>
    <row r="86" spans="1:18" hidden="1" x14ac:dyDescent="0.25">
      <c r="A86" s="130"/>
      <c r="B86" s="150" t="s">
        <v>247</v>
      </c>
      <c r="C86" s="134"/>
      <c r="D86" s="130"/>
      <c r="E86" s="139"/>
      <c r="F86" s="130"/>
      <c r="G86" s="134"/>
      <c r="H86" s="134"/>
      <c r="I86" s="134"/>
      <c r="J86" s="134"/>
      <c r="K86" s="134"/>
      <c r="L86" s="130">
        <f t="shared" si="6"/>
        <v>0</v>
      </c>
      <c r="M86" s="134"/>
      <c r="N86" s="130">
        <f t="shared" si="3"/>
        <v>0</v>
      </c>
      <c r="O86" s="130"/>
      <c r="P86" s="130">
        <f t="shared" si="4"/>
        <v>0</v>
      </c>
      <c r="R86">
        <f t="shared" si="5"/>
        <v>0</v>
      </c>
    </row>
    <row r="87" spans="1:18" hidden="1" x14ac:dyDescent="0.25">
      <c r="A87" s="130"/>
      <c r="B87" s="150" t="s">
        <v>248</v>
      </c>
      <c r="C87" s="134"/>
      <c r="D87" s="130"/>
      <c r="E87" s="139"/>
      <c r="F87" s="130">
        <v>10</v>
      </c>
      <c r="G87" s="134"/>
      <c r="H87" s="134"/>
      <c r="I87" s="134"/>
      <c r="J87" s="134"/>
      <c r="K87" s="134"/>
      <c r="L87" s="130">
        <f t="shared" si="6"/>
        <v>0</v>
      </c>
      <c r="M87" s="134"/>
      <c r="N87" s="130">
        <f t="shared" si="3"/>
        <v>0</v>
      </c>
      <c r="O87" s="130"/>
      <c r="P87" s="130">
        <f t="shared" si="4"/>
        <v>0</v>
      </c>
      <c r="R87">
        <f t="shared" si="5"/>
        <v>0</v>
      </c>
    </row>
    <row r="88" spans="1:18" hidden="1" x14ac:dyDescent="0.25">
      <c r="A88" s="130"/>
      <c r="B88" s="150" t="s">
        <v>249</v>
      </c>
      <c r="C88" s="134"/>
      <c r="D88" s="130"/>
      <c r="E88" s="139"/>
      <c r="F88" s="130"/>
      <c r="G88" s="134"/>
      <c r="H88" s="134"/>
      <c r="I88" s="134"/>
      <c r="J88" s="134"/>
      <c r="K88" s="134"/>
      <c r="L88" s="130">
        <f t="shared" si="6"/>
        <v>0</v>
      </c>
      <c r="M88" s="134"/>
      <c r="N88" s="130">
        <f t="shared" si="3"/>
        <v>0</v>
      </c>
      <c r="O88" s="130"/>
      <c r="P88" s="130">
        <f t="shared" si="4"/>
        <v>0</v>
      </c>
      <c r="R88">
        <f t="shared" si="5"/>
        <v>0</v>
      </c>
    </row>
    <row r="89" spans="1:18" hidden="1" x14ac:dyDescent="0.25">
      <c r="A89" s="130"/>
      <c r="B89" s="150" t="s">
        <v>250</v>
      </c>
      <c r="C89" s="134"/>
      <c r="D89" s="130"/>
      <c r="E89" s="139"/>
      <c r="F89" s="130"/>
      <c r="G89" s="134"/>
      <c r="H89" s="134"/>
      <c r="I89" s="134"/>
      <c r="J89" s="134"/>
      <c r="K89" s="134"/>
      <c r="L89" s="130">
        <f t="shared" si="6"/>
        <v>0</v>
      </c>
      <c r="M89" s="134"/>
      <c r="N89" s="130">
        <f t="shared" si="3"/>
        <v>0</v>
      </c>
      <c r="O89" s="130"/>
      <c r="P89" s="130">
        <f t="shared" si="4"/>
        <v>0</v>
      </c>
      <c r="R89">
        <f t="shared" si="5"/>
        <v>0</v>
      </c>
    </row>
    <row r="90" spans="1:18" ht="15.75" hidden="1" thickBot="1" x14ac:dyDescent="0.3">
      <c r="A90" s="130"/>
      <c r="B90" s="151" t="s">
        <v>242</v>
      </c>
      <c r="C90" s="134"/>
      <c r="D90" s="130"/>
      <c r="E90" s="139"/>
      <c r="F90" s="130"/>
      <c r="G90" s="134"/>
      <c r="H90" s="134"/>
      <c r="I90" s="134"/>
      <c r="J90" s="134"/>
      <c r="K90" s="134"/>
      <c r="L90" s="130">
        <f t="shared" si="6"/>
        <v>0</v>
      </c>
      <c r="M90" s="134"/>
      <c r="N90" s="130">
        <f t="shared" si="3"/>
        <v>0</v>
      </c>
      <c r="O90" s="130"/>
      <c r="P90" s="130">
        <f t="shared" si="4"/>
        <v>0</v>
      </c>
      <c r="R90">
        <f t="shared" si="5"/>
        <v>0</v>
      </c>
    </row>
    <row r="91" spans="1:18" hidden="1" x14ac:dyDescent="0.25">
      <c r="A91" s="130"/>
      <c r="B91" s="130"/>
      <c r="C91" s="134"/>
      <c r="D91" s="130"/>
      <c r="E91" s="139"/>
      <c r="F91" s="130"/>
      <c r="G91" s="134"/>
      <c r="H91" s="134"/>
      <c r="I91" s="134"/>
      <c r="J91" s="134"/>
      <c r="K91" s="134"/>
      <c r="L91" s="134">
        <f>SUM(L74:L90)</f>
        <v>0</v>
      </c>
      <c r="M91" s="134"/>
      <c r="N91" s="134">
        <f>SUM(N74:N90)</f>
        <v>0</v>
      </c>
      <c r="O91" s="130"/>
      <c r="P91" s="134">
        <f>SUM(P74:P90)</f>
        <v>0</v>
      </c>
      <c r="R91" s="11">
        <f>SUM(R74:R90)</f>
        <v>0</v>
      </c>
    </row>
    <row r="92" spans="1:18" x14ac:dyDescent="0.25">
      <c r="A92" s="130"/>
      <c r="B92" s="130"/>
      <c r="C92" s="134"/>
      <c r="D92" s="130"/>
      <c r="E92" s="139"/>
      <c r="F92" s="130"/>
      <c r="G92" s="134"/>
      <c r="H92" s="134"/>
      <c r="I92" s="134"/>
      <c r="J92" s="134"/>
      <c r="K92" s="134"/>
      <c r="L92" s="134"/>
      <c r="M92" s="134"/>
      <c r="N92" s="130"/>
      <c r="O92" s="130"/>
      <c r="P92" s="130"/>
    </row>
    <row r="93" spans="1:18" x14ac:dyDescent="0.25">
      <c r="A93" s="130"/>
      <c r="B93" s="130"/>
      <c r="C93" s="134"/>
      <c r="D93" s="130"/>
      <c r="E93" s="139"/>
      <c r="F93" s="130"/>
      <c r="G93" s="134"/>
      <c r="H93" s="134"/>
      <c r="I93" s="134"/>
      <c r="J93" s="134"/>
      <c r="K93" s="134"/>
      <c r="L93" s="134"/>
      <c r="M93" s="134"/>
      <c r="N93" s="130"/>
      <c r="O93" s="130"/>
      <c r="P93" s="130"/>
    </row>
    <row r="94" spans="1:18" x14ac:dyDescent="0.25">
      <c r="A94" s="130"/>
      <c r="B94" s="130"/>
      <c r="C94" s="134"/>
      <c r="D94" s="130"/>
      <c r="E94" s="139"/>
      <c r="F94" s="130"/>
      <c r="G94" s="134"/>
      <c r="H94" s="134"/>
      <c r="I94" s="134"/>
      <c r="J94" s="134"/>
      <c r="K94" s="134"/>
      <c r="L94" s="134"/>
      <c r="M94" s="134"/>
      <c r="N94" s="130"/>
      <c r="O94" s="130"/>
      <c r="P94" s="130"/>
    </row>
    <row r="95" spans="1:18" x14ac:dyDescent="0.25">
      <c r="A95" s="130"/>
      <c r="B95" s="130"/>
      <c r="C95" s="134"/>
      <c r="D95" s="130"/>
      <c r="E95" s="139"/>
      <c r="F95" s="130"/>
      <c r="G95" s="134"/>
      <c r="H95" s="134"/>
      <c r="I95" s="134"/>
      <c r="J95" s="134"/>
      <c r="K95" s="134"/>
      <c r="L95" s="134"/>
      <c r="M95" s="134"/>
      <c r="N95" s="130"/>
      <c r="O95" s="130"/>
      <c r="P95" s="130"/>
    </row>
  </sheetData>
  <sheetProtection sheet="1" objects="1" scenarios="1" selectLockedCells="1"/>
  <mergeCells count="37">
    <mergeCell ref="A40:L40"/>
    <mergeCell ref="B31:D31"/>
    <mergeCell ref="F31:L37"/>
    <mergeCell ref="B33:D33"/>
    <mergeCell ref="B35:D35"/>
    <mergeCell ref="B37:D37"/>
    <mergeCell ref="B39:D39"/>
    <mergeCell ref="F39:J39"/>
    <mergeCell ref="B29:D29"/>
    <mergeCell ref="F29:L29"/>
    <mergeCell ref="B17:D17"/>
    <mergeCell ref="F17:L17"/>
    <mergeCell ref="B19:D19"/>
    <mergeCell ref="F19:L19"/>
    <mergeCell ref="B21:D21"/>
    <mergeCell ref="F21:L21"/>
    <mergeCell ref="B23:D23"/>
    <mergeCell ref="F23:L23"/>
    <mergeCell ref="D25:H25"/>
    <mergeCell ref="F27:H27"/>
    <mergeCell ref="J27:L27"/>
    <mergeCell ref="A1:M1"/>
    <mergeCell ref="A2:A39"/>
    <mergeCell ref="D2:H2"/>
    <mergeCell ref="M2:M40"/>
    <mergeCell ref="D4:F4"/>
    <mergeCell ref="H4:J4"/>
    <mergeCell ref="B7:D7"/>
    <mergeCell ref="F7:L7"/>
    <mergeCell ref="F9:H9"/>
    <mergeCell ref="J9:L9"/>
    <mergeCell ref="F11:H11"/>
    <mergeCell ref="J11:L11"/>
    <mergeCell ref="F13:H13"/>
    <mergeCell ref="J13:L13"/>
    <mergeCell ref="B15:D15"/>
    <mergeCell ref="F15:L15"/>
  </mergeCells>
  <dataValidations count="9">
    <dataValidation type="list" allowBlank="1" showInputMessage="1" showErrorMessage="1" sqref="J13:L13">
      <formula1>Morale</formula1>
    </dataValidation>
    <dataValidation type="list" allowBlank="1" showInputMessage="1" showErrorMessage="1" sqref="L39">
      <formula1>CHA</formula1>
    </dataValidation>
    <dataValidation type="list" allowBlank="1" showInputMessage="1" showErrorMessage="1" sqref="B17:D17 B19:D19 B21:D21 B23:D23">
      <formula1>Tactics</formula1>
    </dataValidation>
    <dataValidation type="list" allowBlank="1" showInputMessage="1" showErrorMessage="1" sqref="L4">
      <formula1>Active</formula1>
    </dataValidation>
    <dataValidation type="list" allowBlank="1" showInputMessage="1" showErrorMessage="1" sqref="B31:D31 B33:D33 B35:D35 B37:D37 B39:D39">
      <formula1>Abilities</formula1>
    </dataValidation>
    <dataValidation type="list" allowBlank="1" showInputMessage="1" showErrorMessage="1" sqref="F17:L17 F21:L21 F19:L19 F23:L23">
      <formula1>Resources</formula1>
    </dataValidation>
    <dataValidation type="list" allowBlank="1" showInputMessage="1" showErrorMessage="1" sqref="D4">
      <formula1>Size</formula1>
    </dataValidation>
    <dataValidation type="list" allowBlank="1" showInputMessage="1" showErrorMessage="1" sqref="L25">
      <formula1>CR</formula1>
    </dataValidation>
    <dataValidation type="list" allowBlank="1" showInputMessage="1" showErrorMessage="1" sqref="L26 J27:L27">
      <formula1>HD</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R95"/>
  <sheetViews>
    <sheetView workbookViewId="0">
      <selection activeCell="B23" sqref="B23:D23"/>
    </sheetView>
  </sheetViews>
  <sheetFormatPr defaultRowHeight="15" x14ac:dyDescent="0.25"/>
  <cols>
    <col min="1" max="1" width="0.85546875" customWidth="1"/>
    <col min="2" max="2" width="18.7109375" customWidth="1"/>
    <col min="3" max="3" width="0.85546875" style="11" customWidth="1"/>
    <col min="4" max="4" width="10.7109375" customWidth="1"/>
    <col min="5" max="5" width="0.85546875" style="5" customWidth="1"/>
    <col min="6" max="6" width="8.28515625" customWidth="1"/>
    <col min="7" max="7" width="0.85546875" style="11" customWidth="1"/>
    <col min="8" max="8" width="10.7109375" style="11" customWidth="1"/>
    <col min="9" max="9" width="0.85546875" style="11" customWidth="1"/>
    <col min="10" max="10" width="4.7109375" style="11" customWidth="1"/>
    <col min="11" max="11" width="0.85546875" style="11" customWidth="1"/>
    <col min="12" max="12" width="5.7109375" style="11" customWidth="1"/>
    <col min="13" max="13" width="0.85546875" style="11" customWidth="1"/>
    <col min="15" max="15" width="0.85546875" customWidth="1"/>
    <col min="17" max="17" width="0.85546875" customWidth="1"/>
  </cols>
  <sheetData>
    <row r="1" spans="1:16" ht="5.0999999999999996" customHeight="1" thickBot="1" x14ac:dyDescent="0.3">
      <c r="A1" s="500"/>
      <c r="B1" s="501"/>
      <c r="C1" s="501"/>
      <c r="D1" s="501"/>
      <c r="E1" s="501"/>
      <c r="F1" s="501"/>
      <c r="G1" s="501"/>
      <c r="H1" s="501"/>
      <c r="I1" s="501"/>
      <c r="J1" s="501"/>
      <c r="K1" s="501"/>
      <c r="L1" s="501"/>
      <c r="M1" s="502"/>
      <c r="N1" s="130"/>
      <c r="O1" s="130"/>
      <c r="P1" s="130"/>
    </row>
    <row r="2" spans="1:16" ht="15.75" thickBot="1" x14ac:dyDescent="0.3">
      <c r="A2" s="480"/>
      <c r="B2" s="131" t="s">
        <v>83</v>
      </c>
      <c r="C2" s="132"/>
      <c r="D2" s="455"/>
      <c r="E2" s="372"/>
      <c r="F2" s="372"/>
      <c r="G2" s="372"/>
      <c r="H2" s="373"/>
      <c r="I2" s="111"/>
      <c r="J2" s="131" t="s">
        <v>187</v>
      </c>
      <c r="K2" s="97"/>
      <c r="L2" s="152">
        <f>IF(D4="Fine",(L25-8),(IF(D4="Dimunitive",(L25-6),(IF(D4="Tiny",(L25-4),(IF(D4="Small",(L25-2),(IF(D4="Medium",(L25),(IF(D4="Large",(L25+2),(IF(D4="Huge",(L25+4),(IF(D4="Gargantuan",(L25+6),(IF(D4="Colossal",(L25+8),0)))))))))))))))))</f>
        <v>0</v>
      </c>
      <c r="M2" s="497"/>
      <c r="N2" s="130"/>
      <c r="O2" s="130"/>
      <c r="P2" s="130"/>
    </row>
    <row r="3" spans="1:16" s="1" customFormat="1" ht="3" customHeight="1" thickBot="1" x14ac:dyDescent="0.3">
      <c r="A3" s="495"/>
      <c r="B3" s="132"/>
      <c r="C3" s="132"/>
      <c r="D3" s="133"/>
      <c r="E3" s="134"/>
      <c r="F3" s="132"/>
      <c r="G3" s="132"/>
      <c r="H3" s="132"/>
      <c r="I3" s="132"/>
      <c r="J3" s="132"/>
      <c r="K3" s="132"/>
      <c r="L3" s="134"/>
      <c r="M3" s="498"/>
      <c r="N3" s="135"/>
      <c r="O3" s="135"/>
      <c r="P3" s="135"/>
    </row>
    <row r="4" spans="1:16" ht="15.75" thickBot="1" x14ac:dyDescent="0.3">
      <c r="A4" s="495"/>
      <c r="B4" s="131" t="s">
        <v>43</v>
      </c>
      <c r="C4" s="132"/>
      <c r="D4" s="455"/>
      <c r="E4" s="372"/>
      <c r="F4" s="372"/>
      <c r="G4" s="136"/>
      <c r="H4" s="496" t="s">
        <v>255</v>
      </c>
      <c r="I4" s="495"/>
      <c r="J4" s="495"/>
      <c r="K4" s="134"/>
      <c r="L4" s="129"/>
      <c r="M4" s="498"/>
      <c r="N4" s="130"/>
      <c r="O4" s="130"/>
      <c r="P4" s="130"/>
    </row>
    <row r="5" spans="1:16" s="1" customFormat="1" ht="3" customHeight="1" x14ac:dyDescent="0.25">
      <c r="A5" s="495"/>
      <c r="B5" s="132"/>
      <c r="C5" s="132"/>
      <c r="D5" s="137"/>
      <c r="E5" s="137"/>
      <c r="F5" s="134"/>
      <c r="G5" s="134"/>
      <c r="H5" s="134"/>
      <c r="I5" s="134"/>
      <c r="J5" s="134"/>
      <c r="K5" s="134"/>
      <c r="L5" s="134"/>
      <c r="M5" s="498"/>
      <c r="N5" s="135"/>
      <c r="O5" s="135"/>
      <c r="P5" s="135"/>
    </row>
    <row r="6" spans="1:16" s="1" customFormat="1" ht="3" customHeight="1" x14ac:dyDescent="0.25">
      <c r="A6" s="495"/>
      <c r="B6" s="132"/>
      <c r="C6" s="132"/>
      <c r="D6" s="137"/>
      <c r="E6" s="137"/>
      <c r="F6" s="134"/>
      <c r="G6" s="134"/>
      <c r="H6" s="134"/>
      <c r="I6" s="134"/>
      <c r="J6" s="134"/>
      <c r="K6" s="134"/>
      <c r="L6" s="134"/>
      <c r="M6" s="498"/>
      <c r="N6" s="135"/>
      <c r="O6" s="135"/>
      <c r="P6" s="135"/>
    </row>
    <row r="7" spans="1:16" x14ac:dyDescent="0.25">
      <c r="A7" s="495"/>
      <c r="B7" s="408" t="s">
        <v>182</v>
      </c>
      <c r="C7" s="480"/>
      <c r="D7" s="480"/>
      <c r="E7" s="138"/>
      <c r="F7" s="408" t="s">
        <v>183</v>
      </c>
      <c r="G7" s="480"/>
      <c r="H7" s="480"/>
      <c r="I7" s="480"/>
      <c r="J7" s="480"/>
      <c r="K7" s="480"/>
      <c r="L7" s="480"/>
      <c r="M7" s="498"/>
      <c r="N7" s="130"/>
      <c r="O7" s="130"/>
      <c r="P7" s="130"/>
    </row>
    <row r="8" spans="1:16" ht="3" customHeight="1" thickBot="1" x14ac:dyDescent="0.3">
      <c r="A8" s="495"/>
      <c r="B8" s="139"/>
      <c r="C8" s="134"/>
      <c r="D8" s="139"/>
      <c r="E8" s="139"/>
      <c r="F8" s="139"/>
      <c r="G8" s="134"/>
      <c r="H8" s="134"/>
      <c r="I8" s="134"/>
      <c r="J8" s="134"/>
      <c r="K8" s="134"/>
      <c r="L8" s="134"/>
      <c r="M8" s="498"/>
      <c r="N8" s="130"/>
      <c r="O8" s="130"/>
      <c r="P8" s="130"/>
    </row>
    <row r="9" spans="1:16" ht="15.75" thickBot="1" x14ac:dyDescent="0.3">
      <c r="A9" s="495"/>
      <c r="B9" s="112" t="s">
        <v>185</v>
      </c>
      <c r="C9" s="140"/>
      <c r="D9" s="60">
        <f>ROUNDDOWN((L2*((J27+1)/2)),0)</f>
        <v>0</v>
      </c>
      <c r="E9" s="138"/>
      <c r="F9" s="479" t="s">
        <v>184</v>
      </c>
      <c r="G9" s="480"/>
      <c r="H9" s="480"/>
      <c r="I9" s="138"/>
      <c r="J9" s="391">
        <f>ROUNDDOWN(D27/15,0)</f>
        <v>0</v>
      </c>
      <c r="K9" s="392"/>
      <c r="L9" s="393"/>
      <c r="M9" s="498"/>
      <c r="N9" s="130"/>
      <c r="O9" s="130"/>
      <c r="P9" s="130"/>
    </row>
    <row r="10" spans="1:16" ht="3" customHeight="1" thickBot="1" x14ac:dyDescent="0.3">
      <c r="A10" s="495"/>
      <c r="B10" s="111"/>
      <c r="C10" s="134"/>
      <c r="D10" s="139"/>
      <c r="E10" s="139"/>
      <c r="F10" s="139"/>
      <c r="G10" s="134"/>
      <c r="H10" s="111"/>
      <c r="I10" s="134"/>
      <c r="J10" s="137"/>
      <c r="K10" s="137"/>
      <c r="L10" s="137"/>
      <c r="M10" s="498"/>
      <c r="N10" s="130"/>
      <c r="O10" s="130"/>
      <c r="P10" s="130"/>
    </row>
    <row r="11" spans="1:16" ht="15.75" thickBot="1" x14ac:dyDescent="0.3">
      <c r="A11" s="495"/>
      <c r="B11" s="112" t="s">
        <v>193</v>
      </c>
      <c r="C11" s="140"/>
      <c r="D11" s="60">
        <f>L2+L57+L72+L91</f>
        <v>0</v>
      </c>
      <c r="E11" s="138"/>
      <c r="F11" s="479" t="s">
        <v>63</v>
      </c>
      <c r="G11" s="480"/>
      <c r="H11" s="480"/>
      <c r="I11" s="138"/>
      <c r="J11" s="391">
        <f>IF(L2=0,0,IF(((L2/2)+R57+R72+R91)&lt;1,1,ROUNDUP(((L2/2)+R57+R72+R91),0)))</f>
        <v>0</v>
      </c>
      <c r="K11" s="392"/>
      <c r="L11" s="393"/>
      <c r="M11" s="498"/>
      <c r="N11" s="130"/>
      <c r="O11" s="130"/>
      <c r="P11" s="130"/>
    </row>
    <row r="12" spans="1:16" ht="3" customHeight="1" thickBot="1" x14ac:dyDescent="0.3">
      <c r="A12" s="495"/>
      <c r="B12" s="111"/>
      <c r="C12" s="134"/>
      <c r="D12" s="139"/>
      <c r="E12" s="139"/>
      <c r="F12" s="139"/>
      <c r="G12" s="134"/>
      <c r="H12" s="111"/>
      <c r="I12" s="134"/>
      <c r="J12" s="137"/>
      <c r="K12" s="137"/>
      <c r="L12" s="137"/>
      <c r="M12" s="498"/>
      <c r="N12" s="130"/>
      <c r="O12" s="130"/>
      <c r="P12" s="130"/>
    </row>
    <row r="13" spans="1:16" ht="15.75" thickBot="1" x14ac:dyDescent="0.3">
      <c r="A13" s="495"/>
      <c r="B13" s="112" t="s">
        <v>194</v>
      </c>
      <c r="C13" s="140"/>
      <c r="D13" s="60">
        <f>10+L2+N57+N72+N91</f>
        <v>10</v>
      </c>
      <c r="E13" s="138"/>
      <c r="F13" s="479" t="s">
        <v>269</v>
      </c>
      <c r="G13" s="480"/>
      <c r="H13" s="480"/>
      <c r="I13" s="138"/>
      <c r="J13" s="505"/>
      <c r="K13" s="506"/>
      <c r="L13" s="507"/>
      <c r="M13" s="498"/>
      <c r="N13" s="130"/>
      <c r="O13" s="130"/>
      <c r="P13" s="130"/>
    </row>
    <row r="14" spans="1:16" ht="3" customHeight="1" x14ac:dyDescent="0.25">
      <c r="A14" s="495"/>
      <c r="B14" s="139"/>
      <c r="C14" s="134"/>
      <c r="D14" s="139"/>
      <c r="E14" s="139"/>
      <c r="F14" s="139"/>
      <c r="G14" s="134"/>
      <c r="H14" s="134"/>
      <c r="I14" s="134"/>
      <c r="J14" s="134"/>
      <c r="K14" s="134"/>
      <c r="L14" s="134"/>
      <c r="M14" s="498"/>
      <c r="N14" s="130"/>
      <c r="O14" s="130"/>
      <c r="P14" s="130"/>
    </row>
    <row r="15" spans="1:16" x14ac:dyDescent="0.25">
      <c r="A15" s="495"/>
      <c r="B15" s="408" t="s">
        <v>186</v>
      </c>
      <c r="C15" s="480"/>
      <c r="D15" s="480"/>
      <c r="E15" s="138"/>
      <c r="F15" s="408" t="s">
        <v>56</v>
      </c>
      <c r="G15" s="480"/>
      <c r="H15" s="480"/>
      <c r="I15" s="480"/>
      <c r="J15" s="480"/>
      <c r="K15" s="480"/>
      <c r="L15" s="480"/>
      <c r="M15" s="498"/>
      <c r="N15" s="130"/>
      <c r="O15" s="130"/>
      <c r="P15" s="130"/>
    </row>
    <row r="16" spans="1:16" s="5" customFormat="1" ht="3" customHeight="1" thickBot="1" x14ac:dyDescent="0.3">
      <c r="A16" s="495"/>
      <c r="B16" s="141"/>
      <c r="C16" s="141"/>
      <c r="D16" s="141"/>
      <c r="E16" s="141"/>
      <c r="F16" s="141"/>
      <c r="G16" s="141"/>
      <c r="H16" s="141"/>
      <c r="I16" s="141"/>
      <c r="J16" s="141"/>
      <c r="K16" s="141"/>
      <c r="L16" s="141"/>
      <c r="M16" s="498"/>
      <c r="N16" s="139"/>
      <c r="O16" s="139"/>
      <c r="P16" s="139"/>
    </row>
    <row r="17" spans="1:16" s="5" customFormat="1" ht="15.75" thickBot="1" x14ac:dyDescent="0.3">
      <c r="A17" s="495"/>
      <c r="B17" s="481"/>
      <c r="C17" s="482"/>
      <c r="D17" s="483"/>
      <c r="E17" s="141"/>
      <c r="F17" s="481"/>
      <c r="G17" s="482"/>
      <c r="H17" s="482"/>
      <c r="I17" s="482"/>
      <c r="J17" s="482"/>
      <c r="K17" s="482"/>
      <c r="L17" s="483"/>
      <c r="M17" s="498"/>
      <c r="N17" s="139"/>
      <c r="O17" s="139"/>
      <c r="P17" s="139"/>
    </row>
    <row r="18" spans="1:16" s="5" customFormat="1" ht="3" customHeight="1" thickBot="1" x14ac:dyDescent="0.3">
      <c r="A18" s="495"/>
      <c r="B18" s="141"/>
      <c r="C18" s="141"/>
      <c r="D18" s="141"/>
      <c r="E18" s="141"/>
      <c r="F18" s="141"/>
      <c r="G18" s="141"/>
      <c r="H18" s="141"/>
      <c r="I18" s="141"/>
      <c r="J18" s="141"/>
      <c r="K18" s="141"/>
      <c r="L18" s="141"/>
      <c r="M18" s="498"/>
      <c r="N18" s="139"/>
      <c r="O18" s="139"/>
      <c r="P18" s="139"/>
    </row>
    <row r="19" spans="1:16" s="5" customFormat="1" ht="15.75" thickBot="1" x14ac:dyDescent="0.3">
      <c r="A19" s="495"/>
      <c r="B19" s="476"/>
      <c r="C19" s="477"/>
      <c r="D19" s="478"/>
      <c r="E19" s="141"/>
      <c r="F19" s="481"/>
      <c r="G19" s="482"/>
      <c r="H19" s="482"/>
      <c r="I19" s="482"/>
      <c r="J19" s="482"/>
      <c r="K19" s="482"/>
      <c r="L19" s="483"/>
      <c r="M19" s="498"/>
      <c r="N19" s="139"/>
      <c r="O19" s="139"/>
      <c r="P19" s="139"/>
    </row>
    <row r="20" spans="1:16" s="5" customFormat="1" ht="3" customHeight="1" thickBot="1" x14ac:dyDescent="0.3">
      <c r="A20" s="495"/>
      <c r="B20" s="141"/>
      <c r="C20" s="141"/>
      <c r="D20" s="141"/>
      <c r="E20" s="141"/>
      <c r="F20" s="141"/>
      <c r="G20" s="141"/>
      <c r="H20" s="141"/>
      <c r="I20" s="141"/>
      <c r="J20" s="141"/>
      <c r="K20" s="141"/>
      <c r="L20" s="141"/>
      <c r="M20" s="498"/>
      <c r="N20" s="139"/>
      <c r="O20" s="139"/>
      <c r="P20" s="139"/>
    </row>
    <row r="21" spans="1:16" s="5" customFormat="1" ht="15.75" thickBot="1" x14ac:dyDescent="0.3">
      <c r="A21" s="495"/>
      <c r="B21" s="476"/>
      <c r="C21" s="477"/>
      <c r="D21" s="478"/>
      <c r="E21" s="141"/>
      <c r="F21" s="481"/>
      <c r="G21" s="482"/>
      <c r="H21" s="482"/>
      <c r="I21" s="482"/>
      <c r="J21" s="482"/>
      <c r="K21" s="482"/>
      <c r="L21" s="483"/>
      <c r="M21" s="498"/>
      <c r="N21" s="139"/>
      <c r="O21" s="139"/>
      <c r="P21" s="139"/>
    </row>
    <row r="22" spans="1:16" s="5" customFormat="1" ht="3" customHeight="1" thickBot="1" x14ac:dyDescent="0.3">
      <c r="A22" s="495"/>
      <c r="B22" s="141"/>
      <c r="C22" s="141"/>
      <c r="D22" s="141"/>
      <c r="E22" s="141"/>
      <c r="F22" s="141"/>
      <c r="G22" s="141"/>
      <c r="H22" s="141"/>
      <c r="I22" s="141"/>
      <c r="J22" s="141"/>
      <c r="K22" s="141"/>
      <c r="L22" s="141"/>
      <c r="M22" s="498"/>
      <c r="N22" s="139"/>
      <c r="O22" s="139"/>
      <c r="P22" s="139"/>
    </row>
    <row r="23" spans="1:16" s="5" customFormat="1" ht="15.75" thickBot="1" x14ac:dyDescent="0.3">
      <c r="A23" s="495"/>
      <c r="B23" s="476"/>
      <c r="C23" s="477"/>
      <c r="D23" s="478"/>
      <c r="E23" s="141"/>
      <c r="F23" s="481"/>
      <c r="G23" s="482"/>
      <c r="H23" s="482"/>
      <c r="I23" s="482"/>
      <c r="J23" s="482"/>
      <c r="K23" s="482"/>
      <c r="L23" s="483"/>
      <c r="M23" s="498"/>
      <c r="N23" s="139"/>
      <c r="O23" s="139"/>
      <c r="P23" s="139"/>
    </row>
    <row r="24" spans="1:16" ht="3" customHeight="1" thickBot="1" x14ac:dyDescent="0.3">
      <c r="A24" s="495"/>
      <c r="B24" s="142"/>
      <c r="C24" s="143"/>
      <c r="D24" s="142"/>
      <c r="E24" s="142"/>
      <c r="F24" s="142"/>
      <c r="G24" s="143"/>
      <c r="H24" s="143"/>
      <c r="I24" s="134"/>
      <c r="J24" s="143"/>
      <c r="K24" s="134"/>
      <c r="L24" s="143"/>
      <c r="M24" s="498"/>
      <c r="N24" s="130"/>
      <c r="O24" s="130"/>
      <c r="P24" s="130"/>
    </row>
    <row r="25" spans="1:16" ht="15.75" thickBot="1" x14ac:dyDescent="0.3">
      <c r="A25" s="495"/>
      <c r="B25" s="131" t="s">
        <v>191</v>
      </c>
      <c r="C25" s="132"/>
      <c r="D25" s="455"/>
      <c r="E25" s="372"/>
      <c r="F25" s="372"/>
      <c r="G25" s="372"/>
      <c r="H25" s="373"/>
      <c r="I25" s="144"/>
      <c r="J25" s="131" t="s">
        <v>187</v>
      </c>
      <c r="K25" s="144"/>
      <c r="L25" s="102"/>
      <c r="M25" s="498"/>
      <c r="N25" s="130"/>
      <c r="O25" s="130"/>
      <c r="P25" s="130"/>
    </row>
    <row r="26" spans="1:16" ht="3" customHeight="1" thickBot="1" x14ac:dyDescent="0.3">
      <c r="A26" s="495"/>
      <c r="B26" s="139"/>
      <c r="C26" s="134"/>
      <c r="D26" s="139"/>
      <c r="E26" s="138"/>
      <c r="F26" s="139"/>
      <c r="G26" s="134"/>
      <c r="H26" s="134"/>
      <c r="I26" s="134"/>
      <c r="J26" s="145" t="s">
        <v>192</v>
      </c>
      <c r="K26" s="144"/>
      <c r="L26" s="146"/>
      <c r="M26" s="498"/>
      <c r="N26" s="130"/>
      <c r="O26" s="130"/>
      <c r="P26" s="130"/>
    </row>
    <row r="27" spans="1:16" ht="15.75" thickBot="1" x14ac:dyDescent="0.3">
      <c r="A27" s="495"/>
      <c r="B27" s="112" t="s">
        <v>184</v>
      </c>
      <c r="C27" s="140"/>
      <c r="D27" s="57"/>
      <c r="E27" s="138"/>
      <c r="F27" s="479" t="s">
        <v>205</v>
      </c>
      <c r="G27" s="480"/>
      <c r="H27" s="480"/>
      <c r="I27" s="138"/>
      <c r="J27" s="371"/>
      <c r="K27" s="372"/>
      <c r="L27" s="373"/>
      <c r="M27" s="498"/>
      <c r="N27" s="130"/>
      <c r="O27" s="130"/>
      <c r="P27" s="130"/>
    </row>
    <row r="28" spans="1:16" s="5" customFormat="1" ht="3" customHeight="1" x14ac:dyDescent="0.25">
      <c r="A28" s="495"/>
      <c r="B28" s="141"/>
      <c r="C28" s="141"/>
      <c r="D28" s="141">
        <v>50</v>
      </c>
      <c r="E28" s="141"/>
      <c r="F28" s="141"/>
      <c r="G28" s="141"/>
      <c r="H28" s="141"/>
      <c r="I28" s="141"/>
      <c r="J28" s="141"/>
      <c r="K28" s="141"/>
      <c r="L28" s="141"/>
      <c r="M28" s="498"/>
      <c r="N28" s="139"/>
      <c r="O28" s="139"/>
      <c r="P28" s="139"/>
    </row>
    <row r="29" spans="1:16" x14ac:dyDescent="0.25">
      <c r="A29" s="495"/>
      <c r="B29" s="408" t="s">
        <v>189</v>
      </c>
      <c r="C29" s="480"/>
      <c r="D29" s="480"/>
      <c r="E29" s="138"/>
      <c r="F29" s="408" t="s">
        <v>190</v>
      </c>
      <c r="G29" s="480"/>
      <c r="H29" s="480"/>
      <c r="I29" s="480"/>
      <c r="J29" s="480"/>
      <c r="K29" s="480"/>
      <c r="L29" s="480"/>
      <c r="M29" s="498"/>
      <c r="N29" s="130"/>
      <c r="O29" s="130"/>
      <c r="P29" s="130"/>
    </row>
    <row r="30" spans="1:16" s="5" customFormat="1" ht="3" customHeight="1" thickBot="1" x14ac:dyDescent="0.3">
      <c r="A30" s="495"/>
      <c r="B30" s="141"/>
      <c r="C30" s="141"/>
      <c r="D30" s="141"/>
      <c r="E30" s="141"/>
      <c r="F30" s="141"/>
      <c r="G30" s="141"/>
      <c r="H30" s="141"/>
      <c r="I30" s="141"/>
      <c r="J30" s="141"/>
      <c r="K30" s="141"/>
      <c r="L30" s="141"/>
      <c r="M30" s="498"/>
      <c r="N30" s="139"/>
      <c r="O30" s="139"/>
      <c r="P30" s="139"/>
    </row>
    <row r="31" spans="1:16" s="5" customFormat="1" ht="15.75" thickBot="1" x14ac:dyDescent="0.3">
      <c r="A31" s="495"/>
      <c r="B31" s="481"/>
      <c r="C31" s="482"/>
      <c r="D31" s="483"/>
      <c r="E31" s="141"/>
      <c r="F31" s="484"/>
      <c r="G31" s="485"/>
      <c r="H31" s="485"/>
      <c r="I31" s="485"/>
      <c r="J31" s="485"/>
      <c r="K31" s="485"/>
      <c r="L31" s="486"/>
      <c r="M31" s="498"/>
      <c r="N31" s="139"/>
      <c r="O31" s="139"/>
      <c r="P31" s="139"/>
    </row>
    <row r="32" spans="1:16" s="5" customFormat="1" ht="3" customHeight="1" thickBot="1" x14ac:dyDescent="0.3">
      <c r="A32" s="495"/>
      <c r="B32" s="141"/>
      <c r="C32" s="141"/>
      <c r="D32" s="141"/>
      <c r="E32" s="141"/>
      <c r="F32" s="487"/>
      <c r="G32" s="488"/>
      <c r="H32" s="488"/>
      <c r="I32" s="488"/>
      <c r="J32" s="488"/>
      <c r="K32" s="488"/>
      <c r="L32" s="489"/>
      <c r="M32" s="498"/>
      <c r="N32" s="139"/>
      <c r="O32" s="139"/>
      <c r="P32" s="139"/>
    </row>
    <row r="33" spans="1:18" s="5" customFormat="1" ht="15.75" thickBot="1" x14ac:dyDescent="0.3">
      <c r="A33" s="495"/>
      <c r="B33" s="481"/>
      <c r="C33" s="482"/>
      <c r="D33" s="483"/>
      <c r="E33" s="141"/>
      <c r="F33" s="487"/>
      <c r="G33" s="488"/>
      <c r="H33" s="488"/>
      <c r="I33" s="488"/>
      <c r="J33" s="488"/>
      <c r="K33" s="488"/>
      <c r="L33" s="489"/>
      <c r="M33" s="498"/>
      <c r="N33" s="139"/>
      <c r="O33" s="139"/>
      <c r="P33" s="139"/>
    </row>
    <row r="34" spans="1:18" s="5" customFormat="1" ht="3" customHeight="1" thickBot="1" x14ac:dyDescent="0.3">
      <c r="A34" s="495"/>
      <c r="B34" s="141"/>
      <c r="C34" s="141"/>
      <c r="D34" s="141"/>
      <c r="E34" s="141"/>
      <c r="F34" s="487"/>
      <c r="G34" s="488"/>
      <c r="H34" s="488"/>
      <c r="I34" s="488"/>
      <c r="J34" s="488"/>
      <c r="K34" s="488"/>
      <c r="L34" s="489"/>
      <c r="M34" s="498"/>
      <c r="N34" s="139"/>
      <c r="O34" s="139"/>
      <c r="P34" s="139"/>
    </row>
    <row r="35" spans="1:18" s="5" customFormat="1" ht="15.75" thickBot="1" x14ac:dyDescent="0.3">
      <c r="A35" s="495"/>
      <c r="B35" s="481"/>
      <c r="C35" s="482"/>
      <c r="D35" s="483"/>
      <c r="E35" s="141"/>
      <c r="F35" s="487"/>
      <c r="G35" s="488"/>
      <c r="H35" s="488"/>
      <c r="I35" s="488"/>
      <c r="J35" s="488"/>
      <c r="K35" s="488"/>
      <c r="L35" s="489"/>
      <c r="M35" s="498"/>
      <c r="N35" s="139"/>
      <c r="O35" s="139"/>
      <c r="P35" s="139"/>
    </row>
    <row r="36" spans="1:18" s="5" customFormat="1" ht="3" customHeight="1" thickBot="1" x14ac:dyDescent="0.3">
      <c r="A36" s="495"/>
      <c r="B36" s="147"/>
      <c r="C36" s="147"/>
      <c r="D36" s="147"/>
      <c r="E36" s="141"/>
      <c r="F36" s="487"/>
      <c r="G36" s="490"/>
      <c r="H36" s="490"/>
      <c r="I36" s="490"/>
      <c r="J36" s="490"/>
      <c r="K36" s="490"/>
      <c r="L36" s="489"/>
      <c r="M36" s="498"/>
      <c r="N36" s="139"/>
      <c r="O36" s="139"/>
      <c r="P36" s="139"/>
    </row>
    <row r="37" spans="1:18" s="5" customFormat="1" ht="15.75" thickBot="1" x14ac:dyDescent="0.3">
      <c r="A37" s="495"/>
      <c r="B37" s="481"/>
      <c r="C37" s="482"/>
      <c r="D37" s="483"/>
      <c r="E37" s="141"/>
      <c r="F37" s="491"/>
      <c r="G37" s="492"/>
      <c r="H37" s="492"/>
      <c r="I37" s="492"/>
      <c r="J37" s="492"/>
      <c r="K37" s="492"/>
      <c r="L37" s="493"/>
      <c r="M37" s="498"/>
      <c r="N37" s="139"/>
      <c r="O37" s="139"/>
      <c r="P37" s="139"/>
    </row>
    <row r="38" spans="1:18" s="5" customFormat="1" ht="3" customHeight="1" thickBot="1" x14ac:dyDescent="0.3">
      <c r="A38" s="495"/>
      <c r="B38" s="147"/>
      <c r="C38" s="147"/>
      <c r="D38" s="147"/>
      <c r="E38" s="141"/>
      <c r="F38" s="148"/>
      <c r="G38" s="148"/>
      <c r="H38" s="148"/>
      <c r="I38" s="148"/>
      <c r="J38" s="148"/>
      <c r="K38" s="148"/>
      <c r="L38" s="148"/>
      <c r="M38" s="498"/>
      <c r="N38" s="139"/>
      <c r="O38" s="139"/>
      <c r="P38" s="139"/>
    </row>
    <row r="39" spans="1:18" s="5" customFormat="1" ht="15.75" thickBot="1" x14ac:dyDescent="0.3">
      <c r="A39" s="495"/>
      <c r="B39" s="481"/>
      <c r="C39" s="482"/>
      <c r="D39" s="483"/>
      <c r="E39" s="141"/>
      <c r="F39" s="494" t="s">
        <v>256</v>
      </c>
      <c r="G39" s="495"/>
      <c r="H39" s="495"/>
      <c r="I39" s="495"/>
      <c r="J39" s="495"/>
      <c r="K39" s="148"/>
      <c r="L39" s="104"/>
      <c r="M39" s="498"/>
      <c r="N39" s="139"/>
      <c r="O39" s="139"/>
      <c r="P39" s="139"/>
    </row>
    <row r="40" spans="1:18" ht="3" customHeight="1" thickBot="1" x14ac:dyDescent="0.3">
      <c r="A40" s="503"/>
      <c r="B40" s="504"/>
      <c r="C40" s="504"/>
      <c r="D40" s="504"/>
      <c r="E40" s="504"/>
      <c r="F40" s="504"/>
      <c r="G40" s="504"/>
      <c r="H40" s="504"/>
      <c r="I40" s="504"/>
      <c r="J40" s="504"/>
      <c r="K40" s="504"/>
      <c r="L40" s="504"/>
      <c r="M40" s="499"/>
      <c r="N40" s="130"/>
      <c r="O40" s="130"/>
      <c r="P40" s="130"/>
    </row>
    <row r="41" spans="1:18" ht="3" hidden="1" customHeight="1" x14ac:dyDescent="0.25">
      <c r="A41" s="139"/>
      <c r="B41" s="139"/>
      <c r="C41" s="134"/>
      <c r="D41" s="139"/>
      <c r="E41" s="139"/>
      <c r="F41" s="139"/>
      <c r="G41" s="134"/>
      <c r="H41" s="134"/>
      <c r="I41" s="134"/>
      <c r="J41" s="134"/>
      <c r="K41" s="134"/>
      <c r="L41" s="134"/>
      <c r="M41" s="134"/>
      <c r="N41" s="130"/>
      <c r="O41" s="130"/>
      <c r="P41" s="130"/>
    </row>
    <row r="42" spans="1:18" ht="3" hidden="1" customHeight="1" x14ac:dyDescent="0.25">
      <c r="A42" s="139"/>
      <c r="B42" s="139"/>
      <c r="C42" s="134"/>
      <c r="D42" s="139"/>
      <c r="E42" s="139"/>
      <c r="F42" s="139"/>
      <c r="G42" s="134"/>
      <c r="H42" s="134"/>
      <c r="I42" s="134"/>
      <c r="J42" s="134"/>
      <c r="K42" s="134"/>
      <c r="L42" s="134"/>
      <c r="M42" s="134"/>
      <c r="N42" s="130"/>
      <c r="O42" s="130"/>
      <c r="P42" s="130"/>
    </row>
    <row r="43" spans="1:18" hidden="1" x14ac:dyDescent="0.25">
      <c r="A43" s="130"/>
      <c r="B43" s="130"/>
      <c r="C43" s="134"/>
      <c r="D43" s="130" t="s">
        <v>260</v>
      </c>
      <c r="E43" s="139"/>
      <c r="F43" s="130" t="s">
        <v>95</v>
      </c>
      <c r="G43" s="134"/>
      <c r="H43" s="134" t="s">
        <v>188</v>
      </c>
      <c r="I43" s="134"/>
      <c r="J43" s="134" t="s">
        <v>261</v>
      </c>
      <c r="K43" s="134"/>
      <c r="L43" s="130" t="s">
        <v>260</v>
      </c>
      <c r="M43" s="139"/>
      <c r="N43" s="130" t="s">
        <v>95</v>
      </c>
      <c r="O43" s="134"/>
      <c r="P43" s="134" t="s">
        <v>188</v>
      </c>
      <c r="Q43" s="11"/>
      <c r="R43" s="11" t="s">
        <v>261</v>
      </c>
    </row>
    <row r="44" spans="1:18" hidden="1" x14ac:dyDescent="0.25">
      <c r="A44" s="130"/>
      <c r="B44" s="149" t="s">
        <v>186</v>
      </c>
      <c r="C44" s="130"/>
      <c r="D44" s="130"/>
      <c r="E44" s="139"/>
      <c r="F44" s="130"/>
      <c r="G44" s="134"/>
      <c r="H44" s="134"/>
      <c r="I44" s="134"/>
      <c r="J44" s="134"/>
      <c r="K44" s="134"/>
      <c r="L44" s="130"/>
      <c r="M44" s="139"/>
      <c r="N44" s="130"/>
      <c r="O44" s="134"/>
      <c r="P44" s="134"/>
      <c r="Q44" s="11"/>
      <c r="R44" s="11"/>
    </row>
    <row r="45" spans="1:18" hidden="1" x14ac:dyDescent="0.25">
      <c r="A45" s="130"/>
      <c r="B45" s="150" t="s">
        <v>216</v>
      </c>
      <c r="C45" s="130"/>
      <c r="D45" s="130">
        <v>-2</v>
      </c>
      <c r="E45" s="139"/>
      <c r="F45" s="130"/>
      <c r="G45" s="134"/>
      <c r="H45" s="134">
        <v>2</v>
      </c>
      <c r="I45" s="134"/>
      <c r="J45" s="134"/>
      <c r="K45" s="134"/>
      <c r="L45" s="130">
        <f>IF($B$17=$B45,D45,0)</f>
        <v>0</v>
      </c>
      <c r="M45" s="139"/>
      <c r="N45" s="130">
        <f>IF($B$17=$B45,F45,0)</f>
        <v>0</v>
      </c>
      <c r="O45" s="134"/>
      <c r="P45" s="130">
        <f>IF($B$17=$B45,H45,0)</f>
        <v>0</v>
      </c>
      <c r="Q45" s="11"/>
      <c r="R45">
        <f>IF($B$17=$B45,J45,0)</f>
        <v>0</v>
      </c>
    </row>
    <row r="46" spans="1:18" hidden="1" x14ac:dyDescent="0.25">
      <c r="A46" s="130"/>
      <c r="B46" s="150" t="s">
        <v>217</v>
      </c>
      <c r="C46" s="130"/>
      <c r="D46" s="130"/>
      <c r="E46" s="139"/>
      <c r="F46" s="130"/>
      <c r="G46" s="134"/>
      <c r="H46" s="134"/>
      <c r="I46" s="134"/>
      <c r="J46" s="134"/>
      <c r="K46" s="134"/>
      <c r="L46" s="130">
        <f t="shared" ref="L46:L56" si="0">IF($B$17=B46,D46,0)</f>
        <v>0</v>
      </c>
      <c r="M46" s="139"/>
      <c r="N46" s="130">
        <f t="shared" ref="N46:R56" si="1">IF($B$17=$B46,F46,0)</f>
        <v>0</v>
      </c>
      <c r="O46" s="134"/>
      <c r="P46" s="130">
        <f t="shared" si="1"/>
        <v>0</v>
      </c>
      <c r="Q46" s="11"/>
      <c r="R46">
        <f t="shared" si="1"/>
        <v>0</v>
      </c>
    </row>
    <row r="47" spans="1:18" hidden="1" x14ac:dyDescent="0.25">
      <c r="A47" s="130"/>
      <c r="B47" s="150" t="s">
        <v>218</v>
      </c>
      <c r="C47" s="130"/>
      <c r="D47" s="130">
        <v>-2</v>
      </c>
      <c r="E47" s="139"/>
      <c r="F47" s="130">
        <v>2</v>
      </c>
      <c r="G47" s="134"/>
      <c r="H47" s="134"/>
      <c r="I47" s="134"/>
      <c r="J47" s="134"/>
      <c r="K47" s="134"/>
      <c r="L47" s="130">
        <f t="shared" si="0"/>
        <v>0</v>
      </c>
      <c r="M47" s="139"/>
      <c r="N47" s="130">
        <f t="shared" si="1"/>
        <v>0</v>
      </c>
      <c r="O47" s="134"/>
      <c r="P47" s="130">
        <f t="shared" si="1"/>
        <v>0</v>
      </c>
      <c r="Q47" s="11"/>
      <c r="R47">
        <f t="shared" si="1"/>
        <v>0</v>
      </c>
    </row>
    <row r="48" spans="1:18" hidden="1" x14ac:dyDescent="0.25">
      <c r="A48" s="130"/>
      <c r="B48" s="150" t="s">
        <v>219</v>
      </c>
      <c r="C48" s="130"/>
      <c r="D48" s="130"/>
      <c r="E48" s="139"/>
      <c r="F48" s="130"/>
      <c r="G48" s="134"/>
      <c r="H48" s="134"/>
      <c r="I48" s="134"/>
      <c r="J48" s="134"/>
      <c r="K48" s="134"/>
      <c r="L48" s="130">
        <f t="shared" si="0"/>
        <v>0</v>
      </c>
      <c r="M48" s="139"/>
      <c r="N48" s="130">
        <f t="shared" si="1"/>
        <v>0</v>
      </c>
      <c r="O48" s="134"/>
      <c r="P48" s="130">
        <f t="shared" si="1"/>
        <v>0</v>
      </c>
      <c r="Q48" s="11"/>
      <c r="R48">
        <f t="shared" si="1"/>
        <v>0</v>
      </c>
    </row>
    <row r="49" spans="1:18" hidden="1" x14ac:dyDescent="0.25">
      <c r="A49" s="130"/>
      <c r="B49" s="150" t="s">
        <v>220</v>
      </c>
      <c r="C49" s="130"/>
      <c r="D49" s="130">
        <v>2</v>
      </c>
      <c r="E49" s="139"/>
      <c r="F49" s="130">
        <v>-2</v>
      </c>
      <c r="G49" s="134"/>
      <c r="H49" s="134"/>
      <c r="I49" s="134"/>
      <c r="J49" s="134"/>
      <c r="K49" s="134"/>
      <c r="L49" s="130">
        <f t="shared" si="0"/>
        <v>0</v>
      </c>
      <c r="M49" s="139"/>
      <c r="N49" s="130">
        <f t="shared" si="1"/>
        <v>0</v>
      </c>
      <c r="O49" s="134"/>
      <c r="P49" s="130">
        <f t="shared" si="1"/>
        <v>0</v>
      </c>
      <c r="Q49" s="11"/>
      <c r="R49">
        <f t="shared" si="1"/>
        <v>0</v>
      </c>
    </row>
    <row r="50" spans="1:18" hidden="1" x14ac:dyDescent="0.25">
      <c r="A50" s="130"/>
      <c r="B50" s="150" t="s">
        <v>221</v>
      </c>
      <c r="C50" s="130"/>
      <c r="D50" s="130"/>
      <c r="E50" s="139"/>
      <c r="F50" s="130"/>
      <c r="G50" s="134"/>
      <c r="H50" s="134"/>
      <c r="I50" s="134"/>
      <c r="J50" s="134"/>
      <c r="K50" s="134"/>
      <c r="L50" s="130">
        <f t="shared" si="0"/>
        <v>0</v>
      </c>
      <c r="M50" s="139"/>
      <c r="N50" s="130">
        <f t="shared" si="1"/>
        <v>0</v>
      </c>
      <c r="O50" s="134"/>
      <c r="P50" s="130">
        <f t="shared" si="1"/>
        <v>0</v>
      </c>
      <c r="Q50" s="11"/>
      <c r="R50">
        <f t="shared" si="1"/>
        <v>0</v>
      </c>
    </row>
    <row r="51" spans="1:18" hidden="1" x14ac:dyDescent="0.25">
      <c r="A51" s="130"/>
      <c r="B51" s="150" t="s">
        <v>222</v>
      </c>
      <c r="C51" s="130"/>
      <c r="D51" s="130">
        <v>-4</v>
      </c>
      <c r="E51" s="139"/>
      <c r="F51" s="130">
        <v>4</v>
      </c>
      <c r="G51" s="134"/>
      <c r="H51" s="134"/>
      <c r="I51" s="134"/>
      <c r="J51" s="134"/>
      <c r="K51" s="134"/>
      <c r="L51" s="130">
        <f t="shared" si="0"/>
        <v>0</v>
      </c>
      <c r="M51" s="139"/>
      <c r="N51" s="130">
        <f t="shared" si="1"/>
        <v>0</v>
      </c>
      <c r="O51" s="134"/>
      <c r="P51" s="130">
        <f t="shared" si="1"/>
        <v>0</v>
      </c>
      <c r="Q51" s="11"/>
      <c r="R51">
        <f t="shared" si="1"/>
        <v>0</v>
      </c>
    </row>
    <row r="52" spans="1:18" hidden="1" x14ac:dyDescent="0.25">
      <c r="A52" s="130"/>
      <c r="B52" s="150" t="s">
        <v>223</v>
      </c>
      <c r="C52" s="130"/>
      <c r="D52" s="130">
        <v>4</v>
      </c>
      <c r="E52" s="139"/>
      <c r="F52" s="130">
        <v>-4</v>
      </c>
      <c r="G52" s="134"/>
      <c r="H52" s="134"/>
      <c r="I52" s="134"/>
      <c r="J52" s="134"/>
      <c r="K52" s="134"/>
      <c r="L52" s="130">
        <f t="shared" si="0"/>
        <v>0</v>
      </c>
      <c r="M52" s="139"/>
      <c r="N52" s="130">
        <f t="shared" si="1"/>
        <v>0</v>
      </c>
      <c r="O52" s="134"/>
      <c r="P52" s="130">
        <f t="shared" si="1"/>
        <v>0</v>
      </c>
      <c r="Q52" s="11"/>
      <c r="R52">
        <f t="shared" si="1"/>
        <v>0</v>
      </c>
    </row>
    <row r="53" spans="1:18" hidden="1" x14ac:dyDescent="0.25">
      <c r="A53" s="130"/>
      <c r="B53" s="150" t="s">
        <v>262</v>
      </c>
      <c r="C53" s="130"/>
      <c r="D53" s="130"/>
      <c r="E53" s="139"/>
      <c r="F53" s="130"/>
      <c r="G53" s="134"/>
      <c r="H53" s="134"/>
      <c r="I53" s="134"/>
      <c r="J53" s="134"/>
      <c r="K53" s="134"/>
      <c r="L53" s="130">
        <f t="shared" si="0"/>
        <v>0</v>
      </c>
      <c r="M53" s="134"/>
      <c r="N53" s="130">
        <f t="shared" si="1"/>
        <v>0</v>
      </c>
      <c r="O53" s="130"/>
      <c r="P53" s="130">
        <f t="shared" si="1"/>
        <v>0</v>
      </c>
      <c r="R53">
        <f t="shared" si="1"/>
        <v>0</v>
      </c>
    </row>
    <row r="54" spans="1:18" hidden="1" x14ac:dyDescent="0.25">
      <c r="A54" s="130"/>
      <c r="B54" s="150" t="s">
        <v>225</v>
      </c>
      <c r="C54" s="130"/>
      <c r="D54" s="130"/>
      <c r="E54" s="139"/>
      <c r="F54" s="130"/>
      <c r="G54" s="134"/>
      <c r="H54" s="134"/>
      <c r="I54" s="134"/>
      <c r="J54" s="134"/>
      <c r="K54" s="134"/>
      <c r="L54" s="130">
        <f t="shared" si="0"/>
        <v>0</v>
      </c>
      <c r="M54" s="134"/>
      <c r="N54" s="130">
        <f t="shared" si="1"/>
        <v>0</v>
      </c>
      <c r="O54" s="130"/>
      <c r="P54" s="130">
        <f t="shared" si="1"/>
        <v>0</v>
      </c>
      <c r="R54">
        <f t="shared" si="1"/>
        <v>0</v>
      </c>
    </row>
    <row r="55" spans="1:18" hidden="1" x14ac:dyDescent="0.25">
      <c r="A55" s="130"/>
      <c r="B55" s="150" t="s">
        <v>226</v>
      </c>
      <c r="C55" s="130"/>
      <c r="D55" s="130"/>
      <c r="E55" s="139"/>
      <c r="F55" s="130"/>
      <c r="G55" s="134"/>
      <c r="H55" s="134"/>
      <c r="I55" s="134"/>
      <c r="J55" s="134"/>
      <c r="K55" s="134"/>
      <c r="L55" s="130">
        <f t="shared" si="0"/>
        <v>0</v>
      </c>
      <c r="M55" s="134"/>
      <c r="N55" s="130">
        <f t="shared" si="1"/>
        <v>0</v>
      </c>
      <c r="O55" s="130"/>
      <c r="P55" s="130">
        <f t="shared" si="1"/>
        <v>0</v>
      </c>
      <c r="R55">
        <f t="shared" si="1"/>
        <v>0</v>
      </c>
    </row>
    <row r="56" spans="1:18" ht="15.75" hidden="1" thickBot="1" x14ac:dyDescent="0.3">
      <c r="A56" s="130"/>
      <c r="B56" s="151" t="s">
        <v>227</v>
      </c>
      <c r="C56" s="130"/>
      <c r="D56" s="130"/>
      <c r="E56" s="139"/>
      <c r="F56" s="130"/>
      <c r="G56" s="134"/>
      <c r="H56" s="134"/>
      <c r="I56" s="134"/>
      <c r="J56" s="134"/>
      <c r="K56" s="134"/>
      <c r="L56" s="130">
        <f t="shared" si="0"/>
        <v>0</v>
      </c>
      <c r="M56" s="134"/>
      <c r="N56" s="130">
        <f t="shared" si="1"/>
        <v>0</v>
      </c>
      <c r="O56" s="130"/>
      <c r="P56" s="130">
        <f t="shared" si="1"/>
        <v>0</v>
      </c>
      <c r="R56">
        <f t="shared" si="1"/>
        <v>0</v>
      </c>
    </row>
    <row r="57" spans="1:18" hidden="1" x14ac:dyDescent="0.25">
      <c r="A57" s="130"/>
      <c r="B57" s="130"/>
      <c r="C57" s="130"/>
      <c r="D57" s="130"/>
      <c r="E57" s="139"/>
      <c r="F57" s="130"/>
      <c r="G57" s="134"/>
      <c r="H57" s="134"/>
      <c r="I57" s="134"/>
      <c r="J57" s="134"/>
      <c r="K57" s="134"/>
      <c r="L57" s="134">
        <f>SUM(L45:L56)</f>
        <v>0</v>
      </c>
      <c r="M57" s="134"/>
      <c r="N57" s="134">
        <f>SUM(N45:N56)</f>
        <v>0</v>
      </c>
      <c r="O57" s="130"/>
      <c r="P57" s="134">
        <f>SUM(P45:P56)</f>
        <v>0</v>
      </c>
      <c r="R57" s="11">
        <f>SUM(R45:R56)</f>
        <v>0</v>
      </c>
    </row>
    <row r="58" spans="1:18" hidden="1" x14ac:dyDescent="0.25">
      <c r="A58" s="130"/>
      <c r="B58" s="149" t="s">
        <v>56</v>
      </c>
      <c r="C58" s="130"/>
      <c r="D58" s="130"/>
      <c r="E58" s="139"/>
      <c r="F58" s="130"/>
      <c r="G58" s="134"/>
      <c r="H58" s="134"/>
      <c r="I58" s="134"/>
      <c r="J58" s="134"/>
      <c r="K58" s="134"/>
      <c r="L58" s="134"/>
      <c r="M58" s="134"/>
      <c r="N58" s="130"/>
      <c r="O58" s="130"/>
      <c r="P58" s="130"/>
    </row>
    <row r="59" spans="1:18" hidden="1" x14ac:dyDescent="0.25">
      <c r="A59" s="130"/>
      <c r="B59" s="150" t="s">
        <v>263</v>
      </c>
      <c r="C59" s="130"/>
      <c r="D59" s="130">
        <v>2</v>
      </c>
      <c r="E59" s="139"/>
      <c r="F59" s="130">
        <v>2</v>
      </c>
      <c r="G59" s="134"/>
      <c r="H59" s="134"/>
      <c r="I59" s="134"/>
      <c r="J59" s="134">
        <v>1</v>
      </c>
      <c r="K59" s="134"/>
      <c r="L59" s="130">
        <f>IF(OR($F$17=$B59,$F$19=$B59,$F$21=$B59,$F$23=$B59)=TRUE,D59,0)</f>
        <v>0</v>
      </c>
      <c r="M59" s="134"/>
      <c r="N59" s="130">
        <f>IF(OR($F$17=$B59,$F$19=$B59,$F$21=$B59,$F$23=$B59)=TRUE,F59,0)</f>
        <v>0</v>
      </c>
      <c r="O59" s="130"/>
      <c r="P59" s="130">
        <f>IF(OR($F$17=$B59,$F$19=$B59,$F$21=$B59,$F$23=$B59)=TRUE,H59,0)</f>
        <v>0</v>
      </c>
      <c r="R59">
        <f>IF(OR($F$17=$B59,$F$19=$B59,$F$21=$B59,$F$23=$B59)=TRUE,J59,0)</f>
        <v>0</v>
      </c>
    </row>
    <row r="60" spans="1:18" hidden="1" x14ac:dyDescent="0.25">
      <c r="A60" s="130"/>
      <c r="B60" s="150" t="s">
        <v>264</v>
      </c>
      <c r="C60" s="130"/>
      <c r="D60" s="130">
        <v>2</v>
      </c>
      <c r="E60" s="139"/>
      <c r="F60" s="130">
        <v>2</v>
      </c>
      <c r="G60" s="134"/>
      <c r="H60" s="134"/>
      <c r="I60" s="134"/>
      <c r="J60" s="134">
        <v>2</v>
      </c>
      <c r="K60" s="134"/>
      <c r="L60" s="130">
        <f t="shared" ref="L60:R71" si="2">IF(OR($F$17=$B60,$F$19=$B60,$F$21=$B60,$F$23=$B60)=TRUE,D60,0)</f>
        <v>0</v>
      </c>
      <c r="M60" s="134"/>
      <c r="N60" s="130">
        <f t="shared" si="2"/>
        <v>0</v>
      </c>
      <c r="O60" s="130"/>
      <c r="P60" s="130">
        <f t="shared" si="2"/>
        <v>0</v>
      </c>
      <c r="R60">
        <f t="shared" si="2"/>
        <v>0</v>
      </c>
    </row>
    <row r="61" spans="1:18" hidden="1" x14ac:dyDescent="0.25">
      <c r="A61" s="130"/>
      <c r="B61" s="150" t="s">
        <v>265</v>
      </c>
      <c r="C61" s="130"/>
      <c r="D61" s="130">
        <v>2</v>
      </c>
      <c r="E61" s="139"/>
      <c r="F61" s="130">
        <v>2</v>
      </c>
      <c r="G61" s="134"/>
      <c r="H61" s="134"/>
      <c r="I61" s="134"/>
      <c r="J61" s="134">
        <v>3</v>
      </c>
      <c r="K61" s="134"/>
      <c r="L61" s="130">
        <f t="shared" si="2"/>
        <v>0</v>
      </c>
      <c r="M61" s="134"/>
      <c r="N61" s="130">
        <f t="shared" si="2"/>
        <v>0</v>
      </c>
      <c r="O61" s="130"/>
      <c r="P61" s="130">
        <f t="shared" si="2"/>
        <v>0</v>
      </c>
      <c r="R61">
        <f t="shared" si="2"/>
        <v>0</v>
      </c>
    </row>
    <row r="62" spans="1:18" hidden="1" x14ac:dyDescent="0.25">
      <c r="A62" s="130"/>
      <c r="B62" s="150" t="s">
        <v>266</v>
      </c>
      <c r="C62" s="130"/>
      <c r="D62" s="130">
        <v>2</v>
      </c>
      <c r="E62" s="139"/>
      <c r="F62" s="130">
        <v>2</v>
      </c>
      <c r="G62" s="134"/>
      <c r="H62" s="134"/>
      <c r="I62" s="134"/>
      <c r="J62" s="134">
        <v>4</v>
      </c>
      <c r="K62" s="134"/>
      <c r="L62" s="130">
        <f t="shared" si="2"/>
        <v>0</v>
      </c>
      <c r="M62" s="134"/>
      <c r="N62" s="130">
        <f t="shared" si="2"/>
        <v>0</v>
      </c>
      <c r="O62" s="130"/>
      <c r="P62" s="130">
        <f t="shared" si="2"/>
        <v>0</v>
      </c>
      <c r="R62">
        <f t="shared" si="2"/>
        <v>0</v>
      </c>
    </row>
    <row r="63" spans="1:18" hidden="1" x14ac:dyDescent="0.25">
      <c r="A63" s="130"/>
      <c r="B63" s="150" t="s">
        <v>267</v>
      </c>
      <c r="C63" s="130"/>
      <c r="D63" s="130">
        <v>2</v>
      </c>
      <c r="E63" s="139"/>
      <c r="F63" s="130">
        <v>2</v>
      </c>
      <c r="G63" s="134"/>
      <c r="H63" s="134"/>
      <c r="I63" s="134"/>
      <c r="J63" s="134">
        <v>5</v>
      </c>
      <c r="K63" s="134"/>
      <c r="L63" s="130">
        <f t="shared" si="2"/>
        <v>0</v>
      </c>
      <c r="M63" s="134"/>
      <c r="N63" s="130">
        <f t="shared" si="2"/>
        <v>0</v>
      </c>
      <c r="O63" s="130"/>
      <c r="P63" s="130">
        <f t="shared" si="2"/>
        <v>0</v>
      </c>
      <c r="R63">
        <f t="shared" si="2"/>
        <v>0</v>
      </c>
    </row>
    <row r="64" spans="1:18" hidden="1" x14ac:dyDescent="0.25">
      <c r="A64" s="130"/>
      <c r="B64" s="150" t="s">
        <v>228</v>
      </c>
      <c r="C64" s="130"/>
      <c r="D64" s="130">
        <v>1</v>
      </c>
      <c r="E64" s="139"/>
      <c r="F64" s="130"/>
      <c r="G64" s="134"/>
      <c r="H64" s="134"/>
      <c r="I64" s="134"/>
      <c r="J64" s="134">
        <v>5</v>
      </c>
      <c r="K64" s="134"/>
      <c r="L64" s="130">
        <f t="shared" si="2"/>
        <v>0</v>
      </c>
      <c r="M64" s="134"/>
      <c r="N64" s="130">
        <f t="shared" si="2"/>
        <v>0</v>
      </c>
      <c r="O64" s="130"/>
      <c r="P64" s="130">
        <f t="shared" si="2"/>
        <v>0</v>
      </c>
      <c r="R64">
        <f t="shared" si="2"/>
        <v>0</v>
      </c>
    </row>
    <row r="65" spans="1:18" hidden="1" x14ac:dyDescent="0.25">
      <c r="A65" s="130"/>
      <c r="B65" s="150" t="s">
        <v>229</v>
      </c>
      <c r="C65" s="130"/>
      <c r="D65" s="130">
        <v>2</v>
      </c>
      <c r="E65" s="139"/>
      <c r="F65" s="130"/>
      <c r="G65" s="134"/>
      <c r="H65" s="134"/>
      <c r="I65" s="134"/>
      <c r="J65" s="134">
        <v>50</v>
      </c>
      <c r="K65" s="134"/>
      <c r="L65" s="130">
        <f t="shared" si="2"/>
        <v>0</v>
      </c>
      <c r="M65" s="134"/>
      <c r="N65" s="130">
        <f t="shared" si="2"/>
        <v>0</v>
      </c>
      <c r="O65" s="130"/>
      <c r="P65" s="130">
        <f t="shared" si="2"/>
        <v>0</v>
      </c>
      <c r="R65">
        <f t="shared" si="2"/>
        <v>0</v>
      </c>
    </row>
    <row r="66" spans="1:18" hidden="1" x14ac:dyDescent="0.25">
      <c r="A66" s="130"/>
      <c r="B66" s="150" t="s">
        <v>230</v>
      </c>
      <c r="C66" s="130"/>
      <c r="D66" s="130"/>
      <c r="E66" s="139"/>
      <c r="F66" s="130">
        <v>1</v>
      </c>
      <c r="G66" s="134"/>
      <c r="H66" s="134"/>
      <c r="I66" s="134"/>
      <c r="J66" s="134">
        <v>3</v>
      </c>
      <c r="K66" s="134"/>
      <c r="L66" s="130">
        <f t="shared" si="2"/>
        <v>0</v>
      </c>
      <c r="M66" s="134"/>
      <c r="N66" s="130">
        <f t="shared" si="2"/>
        <v>0</v>
      </c>
      <c r="O66" s="130"/>
      <c r="P66" s="130">
        <f t="shared" si="2"/>
        <v>0</v>
      </c>
      <c r="R66">
        <f t="shared" si="2"/>
        <v>0</v>
      </c>
    </row>
    <row r="67" spans="1:18" hidden="1" x14ac:dyDescent="0.25">
      <c r="A67" s="130"/>
      <c r="B67" s="150" t="s">
        <v>231</v>
      </c>
      <c r="C67" s="130"/>
      <c r="D67" s="130"/>
      <c r="E67" s="139"/>
      <c r="F67" s="130">
        <v>2</v>
      </c>
      <c r="G67" s="134"/>
      <c r="H67" s="134"/>
      <c r="I67" s="134"/>
      <c r="J67" s="134">
        <v>15</v>
      </c>
      <c r="K67" s="134"/>
      <c r="L67" s="130">
        <f t="shared" si="2"/>
        <v>0</v>
      </c>
      <c r="M67" s="134"/>
      <c r="N67" s="130">
        <f t="shared" si="2"/>
        <v>0</v>
      </c>
      <c r="O67" s="130"/>
      <c r="P67" s="130">
        <f t="shared" si="2"/>
        <v>0</v>
      </c>
      <c r="R67">
        <f t="shared" si="2"/>
        <v>0</v>
      </c>
    </row>
    <row r="68" spans="1:18" hidden="1" x14ac:dyDescent="0.25">
      <c r="A68" s="130"/>
      <c r="B68" s="150" t="s">
        <v>232</v>
      </c>
      <c r="C68" s="130"/>
      <c r="D68" s="130"/>
      <c r="E68" s="139"/>
      <c r="F68" s="130"/>
      <c r="G68" s="134"/>
      <c r="H68" s="134"/>
      <c r="I68" s="134"/>
      <c r="J68" s="134">
        <v>10</v>
      </c>
      <c r="K68" s="134"/>
      <c r="L68" s="130">
        <f t="shared" si="2"/>
        <v>0</v>
      </c>
      <c r="M68" s="134"/>
      <c r="N68" s="130">
        <f t="shared" si="2"/>
        <v>0</v>
      </c>
      <c r="O68" s="130"/>
      <c r="P68" s="130">
        <f t="shared" si="2"/>
        <v>0</v>
      </c>
      <c r="R68">
        <f t="shared" si="2"/>
        <v>0</v>
      </c>
    </row>
    <row r="69" spans="1:18" hidden="1" x14ac:dyDescent="0.25">
      <c r="A69" s="130"/>
      <c r="B69" s="150" t="s">
        <v>233</v>
      </c>
      <c r="C69" s="130"/>
      <c r="D69" s="130"/>
      <c r="E69" s="139"/>
      <c r="F69" s="130"/>
      <c r="G69" s="134"/>
      <c r="H69" s="134"/>
      <c r="I69" s="134"/>
      <c r="J69" s="134">
        <v>2</v>
      </c>
      <c r="K69" s="134"/>
      <c r="L69" s="130">
        <f t="shared" si="2"/>
        <v>0</v>
      </c>
      <c r="M69" s="134"/>
      <c r="N69" s="130">
        <f t="shared" si="2"/>
        <v>0</v>
      </c>
      <c r="O69" s="130"/>
      <c r="P69" s="130">
        <f t="shared" si="2"/>
        <v>0</v>
      </c>
      <c r="R69">
        <f t="shared" si="2"/>
        <v>0</v>
      </c>
    </row>
    <row r="70" spans="1:18" hidden="1" x14ac:dyDescent="0.25">
      <c r="A70" s="130"/>
      <c r="B70" s="150" t="s">
        <v>234</v>
      </c>
      <c r="C70" s="130"/>
      <c r="D70" s="130"/>
      <c r="E70" s="139"/>
      <c r="F70" s="130"/>
      <c r="G70" s="134"/>
      <c r="H70" s="134"/>
      <c r="I70" s="134"/>
      <c r="J70" s="134">
        <v>15</v>
      </c>
      <c r="K70" s="134"/>
      <c r="L70" s="130">
        <f t="shared" si="2"/>
        <v>0</v>
      </c>
      <c r="M70" s="134"/>
      <c r="N70" s="130">
        <f t="shared" si="2"/>
        <v>0</v>
      </c>
      <c r="O70" s="130"/>
      <c r="P70" s="130">
        <f t="shared" si="2"/>
        <v>0</v>
      </c>
      <c r="R70">
        <f t="shared" si="2"/>
        <v>0</v>
      </c>
    </row>
    <row r="71" spans="1:18" ht="15.75" hidden="1" thickBot="1" x14ac:dyDescent="0.3">
      <c r="A71" s="130"/>
      <c r="B71" s="151" t="s">
        <v>253</v>
      </c>
      <c r="C71" s="130"/>
      <c r="D71" s="130"/>
      <c r="E71" s="139"/>
      <c r="F71" s="130"/>
      <c r="G71" s="134"/>
      <c r="H71" s="134"/>
      <c r="I71" s="134"/>
      <c r="J71" s="134">
        <v>10</v>
      </c>
      <c r="K71" s="134"/>
      <c r="L71" s="130">
        <f t="shared" si="2"/>
        <v>0</v>
      </c>
      <c r="M71" s="134"/>
      <c r="N71" s="130">
        <f t="shared" si="2"/>
        <v>0</v>
      </c>
      <c r="O71" s="130"/>
      <c r="P71" s="130">
        <f t="shared" si="2"/>
        <v>0</v>
      </c>
      <c r="R71">
        <f t="shared" si="2"/>
        <v>0</v>
      </c>
    </row>
    <row r="72" spans="1:18" hidden="1" x14ac:dyDescent="0.25">
      <c r="A72" s="130"/>
      <c r="B72" s="130"/>
      <c r="C72" s="130"/>
      <c r="D72" s="130"/>
      <c r="E72" s="139"/>
      <c r="F72" s="130"/>
      <c r="G72" s="134"/>
      <c r="H72" s="134"/>
      <c r="I72" s="134"/>
      <c r="J72" s="134"/>
      <c r="K72" s="134"/>
      <c r="L72" s="134">
        <f>SUM(L59:L71)</f>
        <v>0</v>
      </c>
      <c r="M72" s="134"/>
      <c r="N72" s="134">
        <f>SUM(N59:N71)</f>
        <v>0</v>
      </c>
      <c r="O72" s="130"/>
      <c r="P72" s="134">
        <f>SUM(P59:P71)</f>
        <v>0</v>
      </c>
      <c r="R72" s="11">
        <f>SUM(R59:R71)</f>
        <v>0</v>
      </c>
    </row>
    <row r="73" spans="1:18" hidden="1" x14ac:dyDescent="0.25">
      <c r="A73" s="130"/>
      <c r="B73" s="149" t="s">
        <v>235</v>
      </c>
      <c r="C73" s="130"/>
      <c r="D73" s="130"/>
      <c r="E73" s="139"/>
      <c r="F73" s="130"/>
      <c r="G73" s="134"/>
      <c r="H73" s="134"/>
      <c r="I73" s="134"/>
      <c r="J73" s="134"/>
      <c r="K73" s="134"/>
      <c r="L73" s="130"/>
      <c r="M73" s="134"/>
      <c r="N73" s="130"/>
      <c r="O73" s="130"/>
      <c r="P73" s="130"/>
    </row>
    <row r="74" spans="1:18" hidden="1" x14ac:dyDescent="0.25">
      <c r="A74" s="130"/>
      <c r="B74" s="150" t="s">
        <v>236</v>
      </c>
      <c r="C74" s="130"/>
      <c r="D74" s="130"/>
      <c r="E74" s="139"/>
      <c r="F74" s="130"/>
      <c r="G74" s="134"/>
      <c r="H74" s="134"/>
      <c r="I74" s="134"/>
      <c r="J74" s="134"/>
      <c r="K74" s="134"/>
      <c r="L74" s="130">
        <f>IF(OR($B$31=$B74,$B$33=$B74,$B$35=$B74,$B$35=$B74,$B$37=$B74,$B$39=$B74)=TRUE,D74,0)</f>
        <v>0</v>
      </c>
      <c r="M74" s="134"/>
      <c r="N74" s="130">
        <f t="shared" ref="N74:N90" si="3">IF(OR($B$31=$B74,$B$33=$B74,$B$35=$B74,$B$35=$B74,$B$37=$B74,$B$39=$B74)=TRUE,F74,0)</f>
        <v>0</v>
      </c>
      <c r="O74" s="130"/>
      <c r="P74" s="130">
        <f t="shared" ref="P74:P90" si="4">IF(OR($B$31=$B74,$B$33=$B74,$B$35=$B74,$B$35=$B74,$B$37=$B74,$B$39=$B74)=TRUE,H74,0)</f>
        <v>0</v>
      </c>
      <c r="R74">
        <f t="shared" ref="R74:R90" si="5">IF(OR($B$31=$B74,$B$33=$B74,$B$35=$B74,$B$35=$B74,$B$37=$B74,$B$39=$B74)=TRUE,J74,0)</f>
        <v>0</v>
      </c>
    </row>
    <row r="75" spans="1:18" hidden="1" x14ac:dyDescent="0.25">
      <c r="A75" s="130"/>
      <c r="B75" s="150" t="s">
        <v>240</v>
      </c>
      <c r="C75" s="130"/>
      <c r="D75" s="130"/>
      <c r="E75" s="139"/>
      <c r="F75" s="130"/>
      <c r="G75" s="134"/>
      <c r="H75" s="134"/>
      <c r="I75" s="134"/>
      <c r="J75" s="134"/>
      <c r="K75" s="134"/>
      <c r="L75" s="130">
        <f t="shared" ref="L75:L90" si="6">IF(OR($B$31=$B75,$B$33=$B75,$B$35=$B75,$B$35=$B75,$B$37=$B75,$B$39=$B75)=TRUE,D75,0)</f>
        <v>0</v>
      </c>
      <c r="M75" s="134"/>
      <c r="N75" s="130">
        <f t="shared" si="3"/>
        <v>0</v>
      </c>
      <c r="O75" s="130"/>
      <c r="P75" s="130">
        <f t="shared" si="4"/>
        <v>0</v>
      </c>
      <c r="R75">
        <f t="shared" si="5"/>
        <v>0</v>
      </c>
    </row>
    <row r="76" spans="1:18" hidden="1" x14ac:dyDescent="0.25">
      <c r="A76" s="130"/>
      <c r="B76" s="150" t="s">
        <v>251</v>
      </c>
      <c r="C76" s="130"/>
      <c r="D76" s="130"/>
      <c r="E76" s="139"/>
      <c r="F76" s="130"/>
      <c r="G76" s="134"/>
      <c r="H76" s="134"/>
      <c r="I76" s="134"/>
      <c r="J76" s="134">
        <v>-1</v>
      </c>
      <c r="K76" s="134"/>
      <c r="L76" s="130">
        <f t="shared" si="6"/>
        <v>0</v>
      </c>
      <c r="M76" s="134"/>
      <c r="N76" s="130">
        <f t="shared" si="3"/>
        <v>0</v>
      </c>
      <c r="O76" s="130"/>
      <c r="P76" s="130">
        <f t="shared" si="4"/>
        <v>0</v>
      </c>
      <c r="R76">
        <f t="shared" si="5"/>
        <v>0</v>
      </c>
    </row>
    <row r="77" spans="1:18" hidden="1" x14ac:dyDescent="0.25">
      <c r="A77" s="130"/>
      <c r="B77" s="150" t="s">
        <v>237</v>
      </c>
      <c r="C77" s="134"/>
      <c r="D77" s="130"/>
      <c r="E77" s="139"/>
      <c r="F77" s="130"/>
      <c r="G77" s="134"/>
      <c r="H77" s="134"/>
      <c r="I77" s="134"/>
      <c r="J77" s="134"/>
      <c r="K77" s="134"/>
      <c r="L77" s="130">
        <f t="shared" si="6"/>
        <v>0</v>
      </c>
      <c r="M77" s="134"/>
      <c r="N77" s="130">
        <f t="shared" si="3"/>
        <v>0</v>
      </c>
      <c r="O77" s="130"/>
      <c r="P77" s="130">
        <f t="shared" si="4"/>
        <v>0</v>
      </c>
      <c r="R77">
        <f t="shared" si="5"/>
        <v>0</v>
      </c>
    </row>
    <row r="78" spans="1:18" hidden="1" x14ac:dyDescent="0.25">
      <c r="A78" s="130"/>
      <c r="B78" s="150" t="s">
        <v>239</v>
      </c>
      <c r="C78" s="134"/>
      <c r="D78" s="130"/>
      <c r="E78" s="139"/>
      <c r="F78" s="130"/>
      <c r="G78" s="134"/>
      <c r="H78" s="134"/>
      <c r="I78" s="134"/>
      <c r="J78" s="134"/>
      <c r="K78" s="134"/>
      <c r="L78" s="130">
        <f t="shared" si="6"/>
        <v>0</v>
      </c>
      <c r="M78" s="134"/>
      <c r="N78" s="130">
        <f t="shared" si="3"/>
        <v>0</v>
      </c>
      <c r="O78" s="130"/>
      <c r="P78" s="130">
        <f t="shared" si="4"/>
        <v>0</v>
      </c>
      <c r="R78">
        <f t="shared" si="5"/>
        <v>0</v>
      </c>
    </row>
    <row r="79" spans="1:18" hidden="1" x14ac:dyDescent="0.25">
      <c r="A79" s="130"/>
      <c r="B79" s="150" t="s">
        <v>243</v>
      </c>
      <c r="C79" s="134"/>
      <c r="D79" s="130"/>
      <c r="E79" s="139"/>
      <c r="F79" s="130"/>
      <c r="G79" s="134"/>
      <c r="H79" s="134"/>
      <c r="I79" s="134"/>
      <c r="J79" s="134"/>
      <c r="K79" s="134"/>
      <c r="L79" s="130">
        <f t="shared" si="6"/>
        <v>0</v>
      </c>
      <c r="M79" s="134"/>
      <c r="N79" s="130">
        <f t="shared" si="3"/>
        <v>0</v>
      </c>
      <c r="O79" s="130"/>
      <c r="P79" s="130">
        <f t="shared" si="4"/>
        <v>0</v>
      </c>
      <c r="R79">
        <f t="shared" si="5"/>
        <v>0</v>
      </c>
    </row>
    <row r="80" spans="1:18" hidden="1" x14ac:dyDescent="0.25">
      <c r="A80" s="130"/>
      <c r="B80" s="150" t="s">
        <v>252</v>
      </c>
      <c r="C80" s="134"/>
      <c r="D80" s="130"/>
      <c r="E80" s="139"/>
      <c r="F80" s="130"/>
      <c r="G80" s="134"/>
      <c r="H80" s="134"/>
      <c r="I80" s="134"/>
      <c r="J80" s="134"/>
      <c r="K80" s="134"/>
      <c r="L80" s="130">
        <f t="shared" si="6"/>
        <v>0</v>
      </c>
      <c r="M80" s="134"/>
      <c r="N80" s="130">
        <f t="shared" si="3"/>
        <v>0</v>
      </c>
      <c r="O80" s="130"/>
      <c r="P80" s="130">
        <f t="shared" si="4"/>
        <v>0</v>
      </c>
      <c r="R80">
        <f t="shared" si="5"/>
        <v>0</v>
      </c>
    </row>
    <row r="81" spans="1:18" hidden="1" x14ac:dyDescent="0.25">
      <c r="A81" s="130"/>
      <c r="B81" s="150" t="s">
        <v>244</v>
      </c>
      <c r="C81" s="134"/>
      <c r="D81" s="130"/>
      <c r="E81" s="139"/>
      <c r="F81" s="130">
        <v>1</v>
      </c>
      <c r="G81" s="134"/>
      <c r="H81" s="134"/>
      <c r="I81" s="134"/>
      <c r="J81" s="134"/>
      <c r="K81" s="134"/>
      <c r="L81" s="130">
        <f t="shared" si="6"/>
        <v>0</v>
      </c>
      <c r="M81" s="134"/>
      <c r="N81" s="130">
        <f t="shared" si="3"/>
        <v>0</v>
      </c>
      <c r="O81" s="130"/>
      <c r="P81" s="130">
        <f t="shared" si="4"/>
        <v>0</v>
      </c>
      <c r="R81">
        <f t="shared" si="5"/>
        <v>0</v>
      </c>
    </row>
    <row r="82" spans="1:18" hidden="1" x14ac:dyDescent="0.25">
      <c r="A82" s="130"/>
      <c r="B82" s="150" t="s">
        <v>245</v>
      </c>
      <c r="C82" s="134"/>
      <c r="D82" s="130"/>
      <c r="E82" s="139"/>
      <c r="F82" s="130"/>
      <c r="G82" s="134"/>
      <c r="H82" s="134"/>
      <c r="I82" s="134"/>
      <c r="J82" s="134"/>
      <c r="K82" s="134"/>
      <c r="L82" s="130">
        <f t="shared" si="6"/>
        <v>0</v>
      </c>
      <c r="M82" s="134"/>
      <c r="N82" s="130">
        <f t="shared" si="3"/>
        <v>0</v>
      </c>
      <c r="O82" s="130"/>
      <c r="P82" s="130">
        <f t="shared" si="4"/>
        <v>0</v>
      </c>
      <c r="R82">
        <f t="shared" si="5"/>
        <v>0</v>
      </c>
    </row>
    <row r="83" spans="1:18" hidden="1" x14ac:dyDescent="0.25">
      <c r="A83" s="130"/>
      <c r="B83" s="150" t="s">
        <v>241</v>
      </c>
      <c r="C83" s="134"/>
      <c r="D83" s="130"/>
      <c r="E83" s="139"/>
      <c r="F83" s="130"/>
      <c r="G83" s="134"/>
      <c r="H83" s="134"/>
      <c r="I83" s="134"/>
      <c r="J83" s="134"/>
      <c r="K83" s="134"/>
      <c r="L83" s="130">
        <f t="shared" si="6"/>
        <v>0</v>
      </c>
      <c r="M83" s="134"/>
      <c r="N83" s="130">
        <f t="shared" si="3"/>
        <v>0</v>
      </c>
      <c r="O83" s="130"/>
      <c r="P83" s="130">
        <f t="shared" si="4"/>
        <v>0</v>
      </c>
      <c r="R83">
        <f t="shared" si="5"/>
        <v>0</v>
      </c>
    </row>
    <row r="84" spans="1:18" hidden="1" x14ac:dyDescent="0.25">
      <c r="A84" s="130"/>
      <c r="B84" s="150" t="s">
        <v>246</v>
      </c>
      <c r="C84" s="134"/>
      <c r="D84" s="130"/>
      <c r="E84" s="139"/>
      <c r="F84" s="130"/>
      <c r="G84" s="134"/>
      <c r="H84" s="134"/>
      <c r="I84" s="134"/>
      <c r="J84" s="134"/>
      <c r="K84" s="134"/>
      <c r="L84" s="130">
        <f t="shared" si="6"/>
        <v>0</v>
      </c>
      <c r="M84" s="134"/>
      <c r="N84" s="130">
        <f t="shared" si="3"/>
        <v>0</v>
      </c>
      <c r="O84" s="130"/>
      <c r="P84" s="130">
        <f t="shared" si="4"/>
        <v>0</v>
      </c>
      <c r="R84">
        <f t="shared" si="5"/>
        <v>0</v>
      </c>
    </row>
    <row r="85" spans="1:18" hidden="1" x14ac:dyDescent="0.25">
      <c r="A85" s="130"/>
      <c r="B85" s="150" t="s">
        <v>238</v>
      </c>
      <c r="C85" s="134"/>
      <c r="D85" s="130"/>
      <c r="E85" s="139"/>
      <c r="F85" s="130"/>
      <c r="G85" s="134"/>
      <c r="H85" s="134"/>
      <c r="I85" s="134"/>
      <c r="J85" s="134"/>
      <c r="K85" s="134"/>
      <c r="L85" s="130">
        <f t="shared" si="6"/>
        <v>0</v>
      </c>
      <c r="M85" s="134"/>
      <c r="N85" s="130">
        <f t="shared" si="3"/>
        <v>0</v>
      </c>
      <c r="O85" s="130"/>
      <c r="P85" s="130">
        <f t="shared" si="4"/>
        <v>0</v>
      </c>
      <c r="R85">
        <f t="shared" si="5"/>
        <v>0</v>
      </c>
    </row>
    <row r="86" spans="1:18" hidden="1" x14ac:dyDescent="0.25">
      <c r="A86" s="130"/>
      <c r="B86" s="150" t="s">
        <v>247</v>
      </c>
      <c r="C86" s="134"/>
      <c r="D86" s="130"/>
      <c r="E86" s="139"/>
      <c r="F86" s="130"/>
      <c r="G86" s="134"/>
      <c r="H86" s="134"/>
      <c r="I86" s="134"/>
      <c r="J86" s="134"/>
      <c r="K86" s="134"/>
      <c r="L86" s="130">
        <f t="shared" si="6"/>
        <v>0</v>
      </c>
      <c r="M86" s="134"/>
      <c r="N86" s="130">
        <f t="shared" si="3"/>
        <v>0</v>
      </c>
      <c r="O86" s="130"/>
      <c r="P86" s="130">
        <f t="shared" si="4"/>
        <v>0</v>
      </c>
      <c r="R86">
        <f t="shared" si="5"/>
        <v>0</v>
      </c>
    </row>
    <row r="87" spans="1:18" hidden="1" x14ac:dyDescent="0.25">
      <c r="A87" s="130"/>
      <c r="B87" s="150" t="s">
        <v>248</v>
      </c>
      <c r="C87" s="134"/>
      <c r="D87" s="130"/>
      <c r="E87" s="139"/>
      <c r="F87" s="130">
        <v>10</v>
      </c>
      <c r="G87" s="134"/>
      <c r="H87" s="134"/>
      <c r="I87" s="134"/>
      <c r="J87" s="134"/>
      <c r="K87" s="134"/>
      <c r="L87" s="130">
        <f t="shared" si="6"/>
        <v>0</v>
      </c>
      <c r="M87" s="134"/>
      <c r="N87" s="130">
        <f t="shared" si="3"/>
        <v>0</v>
      </c>
      <c r="O87" s="130"/>
      <c r="P87" s="130">
        <f t="shared" si="4"/>
        <v>0</v>
      </c>
      <c r="R87">
        <f t="shared" si="5"/>
        <v>0</v>
      </c>
    </row>
    <row r="88" spans="1:18" hidden="1" x14ac:dyDescent="0.25">
      <c r="A88" s="130"/>
      <c r="B88" s="150" t="s">
        <v>249</v>
      </c>
      <c r="C88" s="134"/>
      <c r="D88" s="130"/>
      <c r="E88" s="139"/>
      <c r="F88" s="130"/>
      <c r="G88" s="134"/>
      <c r="H88" s="134"/>
      <c r="I88" s="134"/>
      <c r="J88" s="134"/>
      <c r="K88" s="134"/>
      <c r="L88" s="130">
        <f t="shared" si="6"/>
        <v>0</v>
      </c>
      <c r="M88" s="134"/>
      <c r="N88" s="130">
        <f t="shared" si="3"/>
        <v>0</v>
      </c>
      <c r="O88" s="130"/>
      <c r="P88" s="130">
        <f t="shared" si="4"/>
        <v>0</v>
      </c>
      <c r="R88">
        <f t="shared" si="5"/>
        <v>0</v>
      </c>
    </row>
    <row r="89" spans="1:18" hidden="1" x14ac:dyDescent="0.25">
      <c r="A89" s="130"/>
      <c r="B89" s="150" t="s">
        <v>250</v>
      </c>
      <c r="C89" s="134"/>
      <c r="D89" s="130"/>
      <c r="E89" s="139"/>
      <c r="F89" s="130"/>
      <c r="G89" s="134"/>
      <c r="H89" s="134"/>
      <c r="I89" s="134"/>
      <c r="J89" s="134"/>
      <c r="K89" s="134"/>
      <c r="L89" s="130">
        <f t="shared" si="6"/>
        <v>0</v>
      </c>
      <c r="M89" s="134"/>
      <c r="N89" s="130">
        <f t="shared" si="3"/>
        <v>0</v>
      </c>
      <c r="O89" s="130"/>
      <c r="P89" s="130">
        <f t="shared" si="4"/>
        <v>0</v>
      </c>
      <c r="R89">
        <f t="shared" si="5"/>
        <v>0</v>
      </c>
    </row>
    <row r="90" spans="1:18" ht="15.75" hidden="1" thickBot="1" x14ac:dyDescent="0.3">
      <c r="A90" s="130"/>
      <c r="B90" s="151" t="s">
        <v>242</v>
      </c>
      <c r="C90" s="134"/>
      <c r="D90" s="130"/>
      <c r="E90" s="139"/>
      <c r="F90" s="130"/>
      <c r="G90" s="134"/>
      <c r="H90" s="134"/>
      <c r="I90" s="134"/>
      <c r="J90" s="134"/>
      <c r="K90" s="134"/>
      <c r="L90" s="130">
        <f t="shared" si="6"/>
        <v>0</v>
      </c>
      <c r="M90" s="134"/>
      <c r="N90" s="130">
        <f t="shared" si="3"/>
        <v>0</v>
      </c>
      <c r="O90" s="130"/>
      <c r="P90" s="130">
        <f t="shared" si="4"/>
        <v>0</v>
      </c>
      <c r="R90">
        <f t="shared" si="5"/>
        <v>0</v>
      </c>
    </row>
    <row r="91" spans="1:18" hidden="1" x14ac:dyDescent="0.25">
      <c r="A91" s="130"/>
      <c r="B91" s="130"/>
      <c r="C91" s="134"/>
      <c r="D91" s="130"/>
      <c r="E91" s="139"/>
      <c r="F91" s="130"/>
      <c r="G91" s="134"/>
      <c r="H91" s="134"/>
      <c r="I91" s="134"/>
      <c r="J91" s="134"/>
      <c r="K91" s="134"/>
      <c r="L91" s="134">
        <f>SUM(L74:L90)</f>
        <v>0</v>
      </c>
      <c r="M91" s="134"/>
      <c r="N91" s="134">
        <f>SUM(N74:N90)</f>
        <v>0</v>
      </c>
      <c r="O91" s="130"/>
      <c r="P91" s="134">
        <f>SUM(P74:P90)</f>
        <v>0</v>
      </c>
      <c r="R91" s="11">
        <f>SUM(R74:R90)</f>
        <v>0</v>
      </c>
    </row>
    <row r="92" spans="1:18" x14ac:dyDescent="0.25">
      <c r="A92" s="130"/>
      <c r="B92" s="130"/>
      <c r="C92" s="134"/>
      <c r="D92" s="130"/>
      <c r="E92" s="139"/>
      <c r="F92" s="130"/>
      <c r="G92" s="134"/>
      <c r="H92" s="134"/>
      <c r="I92" s="134"/>
      <c r="J92" s="134"/>
      <c r="K92" s="134"/>
      <c r="L92" s="134"/>
      <c r="M92" s="134"/>
      <c r="N92" s="130"/>
      <c r="O92" s="130"/>
      <c r="P92" s="130"/>
    </row>
    <row r="93" spans="1:18" x14ac:dyDescent="0.25">
      <c r="A93" s="130"/>
      <c r="B93" s="130"/>
      <c r="C93" s="134"/>
      <c r="D93" s="130"/>
      <c r="E93" s="139"/>
      <c r="F93" s="130"/>
      <c r="G93" s="134"/>
      <c r="H93" s="134"/>
      <c r="I93" s="134"/>
      <c r="J93" s="134"/>
      <c r="K93" s="134"/>
      <c r="L93" s="134"/>
      <c r="M93" s="134"/>
      <c r="N93" s="130"/>
      <c r="O93" s="130"/>
      <c r="P93" s="130"/>
    </row>
    <row r="94" spans="1:18" x14ac:dyDescent="0.25">
      <c r="A94" s="130"/>
      <c r="B94" s="130"/>
      <c r="C94" s="134"/>
      <c r="D94" s="130"/>
      <c r="E94" s="139"/>
      <c r="F94" s="130"/>
      <c r="G94" s="134"/>
      <c r="H94" s="134"/>
      <c r="I94" s="134"/>
      <c r="J94" s="134"/>
      <c r="K94" s="134"/>
      <c r="L94" s="134"/>
      <c r="M94" s="134"/>
      <c r="N94" s="130"/>
      <c r="O94" s="130"/>
      <c r="P94" s="130"/>
    </row>
    <row r="95" spans="1:18" x14ac:dyDescent="0.25">
      <c r="A95" s="130"/>
      <c r="B95" s="130"/>
      <c r="C95" s="134"/>
      <c r="D95" s="130"/>
      <c r="E95" s="139"/>
      <c r="F95" s="130"/>
      <c r="G95" s="134"/>
      <c r="H95" s="134"/>
      <c r="I95" s="134"/>
      <c r="J95" s="134"/>
      <c r="K95" s="134"/>
      <c r="L95" s="134"/>
      <c r="M95" s="134"/>
      <c r="N95" s="130"/>
      <c r="O95" s="130"/>
      <c r="P95" s="130"/>
    </row>
  </sheetData>
  <sheetProtection sheet="1" objects="1" scenarios="1" selectLockedCells="1"/>
  <mergeCells count="37">
    <mergeCell ref="A40:L40"/>
    <mergeCell ref="B31:D31"/>
    <mergeCell ref="F31:L37"/>
    <mergeCell ref="B33:D33"/>
    <mergeCell ref="B35:D35"/>
    <mergeCell ref="B37:D37"/>
    <mergeCell ref="B39:D39"/>
    <mergeCell ref="F39:J39"/>
    <mergeCell ref="B29:D29"/>
    <mergeCell ref="F29:L29"/>
    <mergeCell ref="B17:D17"/>
    <mergeCell ref="F17:L17"/>
    <mergeCell ref="B19:D19"/>
    <mergeCell ref="F19:L19"/>
    <mergeCell ref="B21:D21"/>
    <mergeCell ref="F21:L21"/>
    <mergeCell ref="B23:D23"/>
    <mergeCell ref="F23:L23"/>
    <mergeCell ref="D25:H25"/>
    <mergeCell ref="F27:H27"/>
    <mergeCell ref="J27:L27"/>
    <mergeCell ref="A1:M1"/>
    <mergeCell ref="A2:A39"/>
    <mergeCell ref="D2:H2"/>
    <mergeCell ref="M2:M40"/>
    <mergeCell ref="D4:F4"/>
    <mergeCell ref="H4:J4"/>
    <mergeCell ref="B7:D7"/>
    <mergeCell ref="F7:L7"/>
    <mergeCell ref="F9:H9"/>
    <mergeCell ref="J9:L9"/>
    <mergeCell ref="F11:H11"/>
    <mergeCell ref="J11:L11"/>
    <mergeCell ref="F13:H13"/>
    <mergeCell ref="J13:L13"/>
    <mergeCell ref="B15:D15"/>
    <mergeCell ref="F15:L15"/>
  </mergeCells>
  <dataValidations count="9">
    <dataValidation type="list" allowBlank="1" showInputMessage="1" showErrorMessage="1" sqref="L26 J27:L27">
      <formula1>HD</formula1>
    </dataValidation>
    <dataValidation type="list" allowBlank="1" showInputMessage="1" showErrorMessage="1" sqref="L25">
      <formula1>CR</formula1>
    </dataValidation>
    <dataValidation type="list" allowBlank="1" showInputMessage="1" showErrorMessage="1" sqref="D4">
      <formula1>Size</formula1>
    </dataValidation>
    <dataValidation type="list" allowBlank="1" showInputMessage="1" showErrorMessage="1" sqref="F17:L17 F21:L21 F19:L19 F23:L23">
      <formula1>Resources</formula1>
    </dataValidation>
    <dataValidation type="list" allowBlank="1" showInputMessage="1" showErrorMessage="1" sqref="B31:D31 B33:D33 B35:D35 B37:D37 B39:D39">
      <formula1>Abilities</formula1>
    </dataValidation>
    <dataValidation type="list" allowBlank="1" showInputMessage="1" showErrorMessage="1" sqref="L4">
      <formula1>Active</formula1>
    </dataValidation>
    <dataValidation type="list" allowBlank="1" showInputMessage="1" showErrorMessage="1" sqref="B17:D17 B19:D19 B21:D21 B23:D23">
      <formula1>Tactics</formula1>
    </dataValidation>
    <dataValidation type="list" allowBlank="1" showInputMessage="1" showErrorMessage="1" sqref="L39">
      <formula1>CHA</formula1>
    </dataValidation>
    <dataValidation type="list" allowBlank="1" showInputMessage="1" showErrorMessage="1" sqref="J13:L13">
      <formula1>Morale</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R95"/>
  <sheetViews>
    <sheetView workbookViewId="0">
      <selection activeCell="B23" sqref="B23:D23"/>
    </sheetView>
  </sheetViews>
  <sheetFormatPr defaultRowHeight="15" x14ac:dyDescent="0.25"/>
  <cols>
    <col min="1" max="1" width="0.85546875" customWidth="1"/>
    <col min="2" max="2" width="18.7109375" customWidth="1"/>
    <col min="3" max="3" width="0.85546875" style="11" customWidth="1"/>
    <col min="4" max="4" width="10.7109375" customWidth="1"/>
    <col min="5" max="5" width="0.85546875" style="5" customWidth="1"/>
    <col min="6" max="6" width="8.28515625" customWidth="1"/>
    <col min="7" max="7" width="0.85546875" style="11" customWidth="1"/>
    <col min="8" max="8" width="10.7109375" style="11" customWidth="1"/>
    <col min="9" max="9" width="0.85546875" style="11" customWidth="1"/>
    <col min="10" max="10" width="4.7109375" style="11" customWidth="1"/>
    <col min="11" max="11" width="0.85546875" style="11" customWidth="1"/>
    <col min="12" max="12" width="5.7109375" style="11" customWidth="1"/>
    <col min="13" max="13" width="0.85546875" style="11" customWidth="1"/>
    <col min="15" max="15" width="0.85546875" customWidth="1"/>
    <col min="17" max="17" width="0.85546875" customWidth="1"/>
  </cols>
  <sheetData>
    <row r="1" spans="1:16" ht="5.0999999999999996" customHeight="1" thickBot="1" x14ac:dyDescent="0.3">
      <c r="A1" s="500"/>
      <c r="B1" s="501"/>
      <c r="C1" s="501"/>
      <c r="D1" s="501"/>
      <c r="E1" s="501"/>
      <c r="F1" s="501"/>
      <c r="G1" s="501"/>
      <c r="H1" s="501"/>
      <c r="I1" s="501"/>
      <c r="J1" s="501"/>
      <c r="K1" s="501"/>
      <c r="L1" s="501"/>
      <c r="M1" s="502"/>
      <c r="N1" s="130"/>
      <c r="O1" s="130"/>
      <c r="P1" s="130"/>
    </row>
    <row r="2" spans="1:16" ht="15.75" thickBot="1" x14ac:dyDescent="0.3">
      <c r="A2" s="480"/>
      <c r="B2" s="131" t="s">
        <v>83</v>
      </c>
      <c r="C2" s="132"/>
      <c r="D2" s="455"/>
      <c r="E2" s="372"/>
      <c r="F2" s="372"/>
      <c r="G2" s="372"/>
      <c r="H2" s="373"/>
      <c r="I2" s="111"/>
      <c r="J2" s="131" t="s">
        <v>187</v>
      </c>
      <c r="K2" s="97"/>
      <c r="L2" s="152">
        <f>IF(D4="Fine",(L25-8),(IF(D4="Dimunitive",(L25-6),(IF(D4="Tiny",(L25-4),(IF(D4="Small",(L25-2),(IF(D4="Medium",(L25),(IF(D4="Large",(L25+2),(IF(D4="Huge",(L25+4),(IF(D4="Gargantuan",(L25+6),(IF(D4="Colossal",(L25+8),0)))))))))))))))))</f>
        <v>0</v>
      </c>
      <c r="M2" s="497"/>
      <c r="N2" s="130"/>
      <c r="O2" s="130"/>
      <c r="P2" s="130"/>
    </row>
    <row r="3" spans="1:16" s="1" customFormat="1" ht="3" customHeight="1" thickBot="1" x14ac:dyDescent="0.3">
      <c r="A3" s="495"/>
      <c r="B3" s="132"/>
      <c r="C3" s="132"/>
      <c r="D3" s="133"/>
      <c r="E3" s="134"/>
      <c r="F3" s="132"/>
      <c r="G3" s="132"/>
      <c r="H3" s="132"/>
      <c r="I3" s="132"/>
      <c r="J3" s="132"/>
      <c r="K3" s="132"/>
      <c r="L3" s="134"/>
      <c r="M3" s="498"/>
      <c r="N3" s="135"/>
      <c r="O3" s="135"/>
      <c r="P3" s="135"/>
    </row>
    <row r="4" spans="1:16" ht="15.75" thickBot="1" x14ac:dyDescent="0.3">
      <c r="A4" s="495"/>
      <c r="B4" s="131" t="s">
        <v>43</v>
      </c>
      <c r="C4" s="132"/>
      <c r="D4" s="455"/>
      <c r="E4" s="372"/>
      <c r="F4" s="372"/>
      <c r="G4" s="136"/>
      <c r="H4" s="496" t="s">
        <v>255</v>
      </c>
      <c r="I4" s="495"/>
      <c r="J4" s="495"/>
      <c r="K4" s="134"/>
      <c r="L4" s="129"/>
      <c r="M4" s="498"/>
      <c r="N4" s="130"/>
      <c r="O4" s="130"/>
      <c r="P4" s="130"/>
    </row>
    <row r="5" spans="1:16" s="1" customFormat="1" ht="3" customHeight="1" x14ac:dyDescent="0.25">
      <c r="A5" s="495"/>
      <c r="B5" s="132"/>
      <c r="C5" s="132"/>
      <c r="D5" s="137"/>
      <c r="E5" s="137"/>
      <c r="F5" s="134"/>
      <c r="G5" s="134"/>
      <c r="H5" s="134"/>
      <c r="I5" s="134"/>
      <c r="J5" s="134"/>
      <c r="K5" s="134"/>
      <c r="L5" s="134"/>
      <c r="M5" s="498"/>
      <c r="N5" s="135"/>
      <c r="O5" s="135"/>
      <c r="P5" s="135"/>
    </row>
    <row r="6" spans="1:16" s="1" customFormat="1" ht="3" customHeight="1" x14ac:dyDescent="0.25">
      <c r="A6" s="495"/>
      <c r="B6" s="132"/>
      <c r="C6" s="132"/>
      <c r="D6" s="137"/>
      <c r="E6" s="137"/>
      <c r="F6" s="134"/>
      <c r="G6" s="134"/>
      <c r="H6" s="134"/>
      <c r="I6" s="134"/>
      <c r="J6" s="134"/>
      <c r="K6" s="134"/>
      <c r="L6" s="134"/>
      <c r="M6" s="498"/>
      <c r="N6" s="135"/>
      <c r="O6" s="135"/>
      <c r="P6" s="135"/>
    </row>
    <row r="7" spans="1:16" x14ac:dyDescent="0.25">
      <c r="A7" s="495"/>
      <c r="B7" s="408" t="s">
        <v>182</v>
      </c>
      <c r="C7" s="480"/>
      <c r="D7" s="480"/>
      <c r="E7" s="138"/>
      <c r="F7" s="408" t="s">
        <v>183</v>
      </c>
      <c r="G7" s="480"/>
      <c r="H7" s="480"/>
      <c r="I7" s="480"/>
      <c r="J7" s="480"/>
      <c r="K7" s="480"/>
      <c r="L7" s="480"/>
      <c r="M7" s="498"/>
      <c r="N7" s="130"/>
      <c r="O7" s="130"/>
      <c r="P7" s="130"/>
    </row>
    <row r="8" spans="1:16" ht="3" customHeight="1" thickBot="1" x14ac:dyDescent="0.3">
      <c r="A8" s="495"/>
      <c r="B8" s="139"/>
      <c r="C8" s="134"/>
      <c r="D8" s="139"/>
      <c r="E8" s="139"/>
      <c r="F8" s="139"/>
      <c r="G8" s="134"/>
      <c r="H8" s="134"/>
      <c r="I8" s="134"/>
      <c r="J8" s="134"/>
      <c r="K8" s="134"/>
      <c r="L8" s="134"/>
      <c r="M8" s="498"/>
      <c r="N8" s="130"/>
      <c r="O8" s="130"/>
      <c r="P8" s="130"/>
    </row>
    <row r="9" spans="1:16" ht="15.75" thickBot="1" x14ac:dyDescent="0.3">
      <c r="A9" s="495"/>
      <c r="B9" s="112" t="s">
        <v>185</v>
      </c>
      <c r="C9" s="140"/>
      <c r="D9" s="60">
        <f>ROUNDDOWN((L2*((J27+1)/2)),0)</f>
        <v>0</v>
      </c>
      <c r="E9" s="138"/>
      <c r="F9" s="479" t="s">
        <v>184</v>
      </c>
      <c r="G9" s="480"/>
      <c r="H9" s="480"/>
      <c r="I9" s="138"/>
      <c r="J9" s="391">
        <f>ROUNDDOWN(D27/15,0)</f>
        <v>0</v>
      </c>
      <c r="K9" s="392"/>
      <c r="L9" s="393"/>
      <c r="M9" s="498"/>
      <c r="N9" s="130"/>
      <c r="O9" s="130"/>
      <c r="P9" s="130"/>
    </row>
    <row r="10" spans="1:16" ht="3" customHeight="1" thickBot="1" x14ac:dyDescent="0.3">
      <c r="A10" s="495"/>
      <c r="B10" s="111"/>
      <c r="C10" s="134"/>
      <c r="D10" s="139"/>
      <c r="E10" s="139"/>
      <c r="F10" s="139"/>
      <c r="G10" s="134"/>
      <c r="H10" s="111"/>
      <c r="I10" s="134"/>
      <c r="J10" s="137"/>
      <c r="K10" s="137"/>
      <c r="L10" s="137"/>
      <c r="M10" s="498"/>
      <c r="N10" s="130"/>
      <c r="O10" s="130"/>
      <c r="P10" s="130"/>
    </row>
    <row r="11" spans="1:16" ht="15.75" thickBot="1" x14ac:dyDescent="0.3">
      <c r="A11" s="495"/>
      <c r="B11" s="112" t="s">
        <v>193</v>
      </c>
      <c r="C11" s="140"/>
      <c r="D11" s="60">
        <f>L2+L57+L72+L91</f>
        <v>0</v>
      </c>
      <c r="E11" s="138"/>
      <c r="F11" s="479" t="s">
        <v>63</v>
      </c>
      <c r="G11" s="480"/>
      <c r="H11" s="480"/>
      <c r="I11" s="138"/>
      <c r="J11" s="391">
        <f>IF(L2=0,0,IF(((L2/2)+R57+R72+R91)&lt;1,1,ROUNDUP(((L2/2)+R57+R72+R91),0)))</f>
        <v>0</v>
      </c>
      <c r="K11" s="392"/>
      <c r="L11" s="393"/>
      <c r="M11" s="498"/>
      <c r="N11" s="130"/>
      <c r="O11" s="130"/>
      <c r="P11" s="130"/>
    </row>
    <row r="12" spans="1:16" ht="3" customHeight="1" thickBot="1" x14ac:dyDescent="0.3">
      <c r="A12" s="495"/>
      <c r="B12" s="111"/>
      <c r="C12" s="134"/>
      <c r="D12" s="139"/>
      <c r="E12" s="139"/>
      <c r="F12" s="139"/>
      <c r="G12" s="134"/>
      <c r="H12" s="111"/>
      <c r="I12" s="134"/>
      <c r="J12" s="137"/>
      <c r="K12" s="137"/>
      <c r="L12" s="137"/>
      <c r="M12" s="498"/>
      <c r="N12" s="130"/>
      <c r="O12" s="130"/>
      <c r="P12" s="130"/>
    </row>
    <row r="13" spans="1:16" ht="15.75" thickBot="1" x14ac:dyDescent="0.3">
      <c r="A13" s="495"/>
      <c r="B13" s="112" t="s">
        <v>194</v>
      </c>
      <c r="C13" s="140"/>
      <c r="D13" s="60">
        <f>10+L2+N57+N72+N91</f>
        <v>10</v>
      </c>
      <c r="E13" s="138"/>
      <c r="F13" s="479" t="s">
        <v>269</v>
      </c>
      <c r="G13" s="480"/>
      <c r="H13" s="480"/>
      <c r="I13" s="138"/>
      <c r="J13" s="505"/>
      <c r="K13" s="506"/>
      <c r="L13" s="507"/>
      <c r="M13" s="498"/>
      <c r="N13" s="130"/>
      <c r="O13" s="130"/>
      <c r="P13" s="130"/>
    </row>
    <row r="14" spans="1:16" ht="3" customHeight="1" x14ac:dyDescent="0.25">
      <c r="A14" s="495"/>
      <c r="B14" s="139"/>
      <c r="C14" s="134"/>
      <c r="D14" s="139"/>
      <c r="E14" s="139"/>
      <c r="F14" s="139"/>
      <c r="G14" s="134"/>
      <c r="H14" s="134"/>
      <c r="I14" s="134"/>
      <c r="J14" s="134"/>
      <c r="K14" s="134"/>
      <c r="L14" s="134"/>
      <c r="M14" s="498"/>
      <c r="N14" s="130"/>
      <c r="O14" s="130"/>
      <c r="P14" s="130"/>
    </row>
    <row r="15" spans="1:16" x14ac:dyDescent="0.25">
      <c r="A15" s="495"/>
      <c r="B15" s="408" t="s">
        <v>186</v>
      </c>
      <c r="C15" s="480"/>
      <c r="D15" s="480"/>
      <c r="E15" s="138"/>
      <c r="F15" s="408" t="s">
        <v>56</v>
      </c>
      <c r="G15" s="480"/>
      <c r="H15" s="480"/>
      <c r="I15" s="480"/>
      <c r="J15" s="480"/>
      <c r="K15" s="480"/>
      <c r="L15" s="480"/>
      <c r="M15" s="498"/>
      <c r="N15" s="130"/>
      <c r="O15" s="130"/>
      <c r="P15" s="130"/>
    </row>
    <row r="16" spans="1:16" s="5" customFormat="1" ht="3" customHeight="1" thickBot="1" x14ac:dyDescent="0.3">
      <c r="A16" s="495"/>
      <c r="B16" s="141"/>
      <c r="C16" s="141"/>
      <c r="D16" s="141"/>
      <c r="E16" s="141"/>
      <c r="F16" s="141"/>
      <c r="G16" s="141"/>
      <c r="H16" s="141"/>
      <c r="I16" s="141"/>
      <c r="J16" s="141"/>
      <c r="K16" s="141"/>
      <c r="L16" s="141"/>
      <c r="M16" s="498"/>
      <c r="N16" s="139"/>
      <c r="O16" s="139"/>
      <c r="P16" s="139"/>
    </row>
    <row r="17" spans="1:16" s="5" customFormat="1" ht="15.75" thickBot="1" x14ac:dyDescent="0.3">
      <c r="A17" s="495"/>
      <c r="B17" s="481"/>
      <c r="C17" s="482"/>
      <c r="D17" s="483"/>
      <c r="E17" s="141"/>
      <c r="F17" s="481"/>
      <c r="G17" s="482"/>
      <c r="H17" s="482"/>
      <c r="I17" s="482"/>
      <c r="J17" s="482"/>
      <c r="K17" s="482"/>
      <c r="L17" s="483"/>
      <c r="M17" s="498"/>
      <c r="N17" s="139"/>
      <c r="O17" s="139"/>
      <c r="P17" s="139"/>
    </row>
    <row r="18" spans="1:16" s="5" customFormat="1" ht="3" customHeight="1" thickBot="1" x14ac:dyDescent="0.3">
      <c r="A18" s="495"/>
      <c r="B18" s="141"/>
      <c r="C18" s="141"/>
      <c r="D18" s="141"/>
      <c r="E18" s="141"/>
      <c r="F18" s="141"/>
      <c r="G18" s="141"/>
      <c r="H18" s="141"/>
      <c r="I18" s="141"/>
      <c r="J18" s="141"/>
      <c r="K18" s="141"/>
      <c r="L18" s="141"/>
      <c r="M18" s="498"/>
      <c r="N18" s="139"/>
      <c r="O18" s="139"/>
      <c r="P18" s="139"/>
    </row>
    <row r="19" spans="1:16" s="5" customFormat="1" ht="15.75" thickBot="1" x14ac:dyDescent="0.3">
      <c r="A19" s="495"/>
      <c r="B19" s="476"/>
      <c r="C19" s="477"/>
      <c r="D19" s="478"/>
      <c r="E19" s="141"/>
      <c r="F19" s="481"/>
      <c r="G19" s="482"/>
      <c r="H19" s="482"/>
      <c r="I19" s="482"/>
      <c r="J19" s="482"/>
      <c r="K19" s="482"/>
      <c r="L19" s="483"/>
      <c r="M19" s="498"/>
      <c r="N19" s="139"/>
      <c r="O19" s="139"/>
      <c r="P19" s="139"/>
    </row>
    <row r="20" spans="1:16" s="5" customFormat="1" ht="3" customHeight="1" thickBot="1" x14ac:dyDescent="0.3">
      <c r="A20" s="495"/>
      <c r="B20" s="141"/>
      <c r="C20" s="141"/>
      <c r="D20" s="141"/>
      <c r="E20" s="141"/>
      <c r="F20" s="141"/>
      <c r="G20" s="141"/>
      <c r="H20" s="141"/>
      <c r="I20" s="141"/>
      <c r="J20" s="141"/>
      <c r="K20" s="141"/>
      <c r="L20" s="141"/>
      <c r="M20" s="498"/>
      <c r="N20" s="139"/>
      <c r="O20" s="139"/>
      <c r="P20" s="139"/>
    </row>
    <row r="21" spans="1:16" s="5" customFormat="1" ht="15.75" thickBot="1" x14ac:dyDescent="0.3">
      <c r="A21" s="495"/>
      <c r="B21" s="476"/>
      <c r="C21" s="477"/>
      <c r="D21" s="478"/>
      <c r="E21" s="141"/>
      <c r="F21" s="481"/>
      <c r="G21" s="482"/>
      <c r="H21" s="482"/>
      <c r="I21" s="482"/>
      <c r="J21" s="482"/>
      <c r="K21" s="482"/>
      <c r="L21" s="483"/>
      <c r="M21" s="498"/>
      <c r="N21" s="139"/>
      <c r="O21" s="139"/>
      <c r="P21" s="139"/>
    </row>
    <row r="22" spans="1:16" s="5" customFormat="1" ht="3" customHeight="1" thickBot="1" x14ac:dyDescent="0.3">
      <c r="A22" s="495"/>
      <c r="B22" s="141"/>
      <c r="C22" s="141"/>
      <c r="D22" s="141"/>
      <c r="E22" s="141"/>
      <c r="F22" s="141"/>
      <c r="G22" s="141"/>
      <c r="H22" s="141"/>
      <c r="I22" s="141"/>
      <c r="J22" s="141"/>
      <c r="K22" s="141"/>
      <c r="L22" s="141"/>
      <c r="M22" s="498"/>
      <c r="N22" s="139"/>
      <c r="O22" s="139"/>
      <c r="P22" s="139"/>
    </row>
    <row r="23" spans="1:16" s="5" customFormat="1" ht="15.75" thickBot="1" x14ac:dyDescent="0.3">
      <c r="A23" s="495"/>
      <c r="B23" s="476"/>
      <c r="C23" s="477"/>
      <c r="D23" s="478"/>
      <c r="E23" s="141"/>
      <c r="F23" s="481"/>
      <c r="G23" s="482"/>
      <c r="H23" s="482"/>
      <c r="I23" s="482"/>
      <c r="J23" s="482"/>
      <c r="K23" s="482"/>
      <c r="L23" s="483"/>
      <c r="M23" s="498"/>
      <c r="N23" s="139"/>
      <c r="O23" s="139"/>
      <c r="P23" s="139"/>
    </row>
    <row r="24" spans="1:16" ht="3" customHeight="1" thickBot="1" x14ac:dyDescent="0.3">
      <c r="A24" s="495"/>
      <c r="B24" s="142"/>
      <c r="C24" s="143"/>
      <c r="D24" s="142"/>
      <c r="E24" s="142"/>
      <c r="F24" s="142"/>
      <c r="G24" s="143"/>
      <c r="H24" s="143"/>
      <c r="I24" s="134"/>
      <c r="J24" s="143"/>
      <c r="K24" s="134"/>
      <c r="L24" s="143"/>
      <c r="M24" s="498"/>
      <c r="N24" s="130"/>
      <c r="O24" s="130"/>
      <c r="P24" s="130"/>
    </row>
    <row r="25" spans="1:16" ht="15.75" thickBot="1" x14ac:dyDescent="0.3">
      <c r="A25" s="495"/>
      <c r="B25" s="131" t="s">
        <v>191</v>
      </c>
      <c r="C25" s="132"/>
      <c r="D25" s="455"/>
      <c r="E25" s="372"/>
      <c r="F25" s="372"/>
      <c r="G25" s="372"/>
      <c r="H25" s="373"/>
      <c r="I25" s="144"/>
      <c r="J25" s="131" t="s">
        <v>187</v>
      </c>
      <c r="K25" s="144"/>
      <c r="L25" s="102"/>
      <c r="M25" s="498"/>
      <c r="N25" s="130"/>
      <c r="O25" s="130"/>
      <c r="P25" s="130"/>
    </row>
    <row r="26" spans="1:16" ht="3" customHeight="1" thickBot="1" x14ac:dyDescent="0.3">
      <c r="A26" s="495"/>
      <c r="B26" s="139"/>
      <c r="C26" s="134"/>
      <c r="D26" s="139"/>
      <c r="E26" s="138"/>
      <c r="F26" s="139"/>
      <c r="G26" s="134"/>
      <c r="H26" s="134"/>
      <c r="I26" s="134"/>
      <c r="J26" s="145" t="s">
        <v>192</v>
      </c>
      <c r="K26" s="144"/>
      <c r="L26" s="146"/>
      <c r="M26" s="498"/>
      <c r="N26" s="130"/>
      <c r="O26" s="130"/>
      <c r="P26" s="130"/>
    </row>
    <row r="27" spans="1:16" ht="15.75" thickBot="1" x14ac:dyDescent="0.3">
      <c r="A27" s="495"/>
      <c r="B27" s="112" t="s">
        <v>184</v>
      </c>
      <c r="C27" s="140"/>
      <c r="D27" s="57"/>
      <c r="E27" s="138"/>
      <c r="F27" s="479" t="s">
        <v>205</v>
      </c>
      <c r="G27" s="480"/>
      <c r="H27" s="480"/>
      <c r="I27" s="138"/>
      <c r="J27" s="371"/>
      <c r="K27" s="372"/>
      <c r="L27" s="373"/>
      <c r="M27" s="498"/>
      <c r="N27" s="130"/>
      <c r="O27" s="130"/>
      <c r="P27" s="130"/>
    </row>
    <row r="28" spans="1:16" s="5" customFormat="1" ht="3" customHeight="1" x14ac:dyDescent="0.25">
      <c r="A28" s="495"/>
      <c r="B28" s="141"/>
      <c r="C28" s="141"/>
      <c r="D28" s="141">
        <v>50</v>
      </c>
      <c r="E28" s="141"/>
      <c r="F28" s="141"/>
      <c r="G28" s="141"/>
      <c r="H28" s="141"/>
      <c r="I28" s="141"/>
      <c r="J28" s="141"/>
      <c r="K28" s="141"/>
      <c r="L28" s="141"/>
      <c r="M28" s="498"/>
      <c r="N28" s="139"/>
      <c r="O28" s="139"/>
      <c r="P28" s="139"/>
    </row>
    <row r="29" spans="1:16" x14ac:dyDescent="0.25">
      <c r="A29" s="495"/>
      <c r="B29" s="408" t="s">
        <v>189</v>
      </c>
      <c r="C29" s="480"/>
      <c r="D29" s="480"/>
      <c r="E29" s="138"/>
      <c r="F29" s="408" t="s">
        <v>190</v>
      </c>
      <c r="G29" s="480"/>
      <c r="H29" s="480"/>
      <c r="I29" s="480"/>
      <c r="J29" s="480"/>
      <c r="K29" s="480"/>
      <c r="L29" s="480"/>
      <c r="M29" s="498"/>
      <c r="N29" s="130"/>
      <c r="O29" s="130"/>
      <c r="P29" s="130"/>
    </row>
    <row r="30" spans="1:16" s="5" customFormat="1" ht="3" customHeight="1" thickBot="1" x14ac:dyDescent="0.3">
      <c r="A30" s="495"/>
      <c r="B30" s="141"/>
      <c r="C30" s="141"/>
      <c r="D30" s="141"/>
      <c r="E30" s="141"/>
      <c r="F30" s="141"/>
      <c r="G30" s="141"/>
      <c r="H30" s="141"/>
      <c r="I30" s="141"/>
      <c r="J30" s="141"/>
      <c r="K30" s="141"/>
      <c r="L30" s="141"/>
      <c r="M30" s="498"/>
      <c r="N30" s="139"/>
      <c r="O30" s="139"/>
      <c r="P30" s="139"/>
    </row>
    <row r="31" spans="1:16" s="5" customFormat="1" ht="15.75" thickBot="1" x14ac:dyDescent="0.3">
      <c r="A31" s="495"/>
      <c r="B31" s="481"/>
      <c r="C31" s="482"/>
      <c r="D31" s="483"/>
      <c r="E31" s="141"/>
      <c r="F31" s="484"/>
      <c r="G31" s="485"/>
      <c r="H31" s="485"/>
      <c r="I31" s="485"/>
      <c r="J31" s="485"/>
      <c r="K31" s="485"/>
      <c r="L31" s="486"/>
      <c r="M31" s="498"/>
      <c r="N31" s="139"/>
      <c r="O31" s="139"/>
      <c r="P31" s="139"/>
    </row>
    <row r="32" spans="1:16" s="5" customFormat="1" ht="3" customHeight="1" thickBot="1" x14ac:dyDescent="0.3">
      <c r="A32" s="495"/>
      <c r="B32" s="141"/>
      <c r="C32" s="141"/>
      <c r="D32" s="141"/>
      <c r="E32" s="141"/>
      <c r="F32" s="487"/>
      <c r="G32" s="488"/>
      <c r="H32" s="488"/>
      <c r="I32" s="488"/>
      <c r="J32" s="488"/>
      <c r="K32" s="488"/>
      <c r="L32" s="489"/>
      <c r="M32" s="498"/>
      <c r="N32" s="139"/>
      <c r="O32" s="139"/>
      <c r="P32" s="139"/>
    </row>
    <row r="33" spans="1:18" s="5" customFormat="1" ht="15.75" thickBot="1" x14ac:dyDescent="0.3">
      <c r="A33" s="495"/>
      <c r="B33" s="481"/>
      <c r="C33" s="482"/>
      <c r="D33" s="483"/>
      <c r="E33" s="141"/>
      <c r="F33" s="487"/>
      <c r="G33" s="488"/>
      <c r="H33" s="488"/>
      <c r="I33" s="488"/>
      <c r="J33" s="488"/>
      <c r="K33" s="488"/>
      <c r="L33" s="489"/>
      <c r="M33" s="498"/>
      <c r="N33" s="139"/>
      <c r="O33" s="139"/>
      <c r="P33" s="139"/>
    </row>
    <row r="34" spans="1:18" s="5" customFormat="1" ht="3" customHeight="1" thickBot="1" x14ac:dyDescent="0.3">
      <c r="A34" s="495"/>
      <c r="B34" s="141"/>
      <c r="C34" s="141"/>
      <c r="D34" s="141"/>
      <c r="E34" s="141"/>
      <c r="F34" s="487"/>
      <c r="G34" s="488"/>
      <c r="H34" s="488"/>
      <c r="I34" s="488"/>
      <c r="J34" s="488"/>
      <c r="K34" s="488"/>
      <c r="L34" s="489"/>
      <c r="M34" s="498"/>
      <c r="N34" s="139"/>
      <c r="O34" s="139"/>
      <c r="P34" s="139"/>
    </row>
    <row r="35" spans="1:18" s="5" customFormat="1" ht="15.75" thickBot="1" x14ac:dyDescent="0.3">
      <c r="A35" s="495"/>
      <c r="B35" s="481"/>
      <c r="C35" s="482"/>
      <c r="D35" s="483"/>
      <c r="E35" s="141"/>
      <c r="F35" s="487"/>
      <c r="G35" s="488"/>
      <c r="H35" s="488"/>
      <c r="I35" s="488"/>
      <c r="J35" s="488"/>
      <c r="K35" s="488"/>
      <c r="L35" s="489"/>
      <c r="M35" s="498"/>
      <c r="N35" s="139"/>
      <c r="O35" s="139"/>
      <c r="P35" s="139"/>
    </row>
    <row r="36" spans="1:18" s="5" customFormat="1" ht="3" customHeight="1" thickBot="1" x14ac:dyDescent="0.3">
      <c r="A36" s="495"/>
      <c r="B36" s="147"/>
      <c r="C36" s="147"/>
      <c r="D36" s="147"/>
      <c r="E36" s="141"/>
      <c r="F36" s="487"/>
      <c r="G36" s="490"/>
      <c r="H36" s="490"/>
      <c r="I36" s="490"/>
      <c r="J36" s="490"/>
      <c r="K36" s="490"/>
      <c r="L36" s="489"/>
      <c r="M36" s="498"/>
      <c r="N36" s="139"/>
      <c r="O36" s="139"/>
      <c r="P36" s="139"/>
    </row>
    <row r="37" spans="1:18" s="5" customFormat="1" ht="15.75" thickBot="1" x14ac:dyDescent="0.3">
      <c r="A37" s="495"/>
      <c r="B37" s="481"/>
      <c r="C37" s="482"/>
      <c r="D37" s="483"/>
      <c r="E37" s="141"/>
      <c r="F37" s="491"/>
      <c r="G37" s="492"/>
      <c r="H37" s="492"/>
      <c r="I37" s="492"/>
      <c r="J37" s="492"/>
      <c r="K37" s="492"/>
      <c r="L37" s="493"/>
      <c r="M37" s="498"/>
      <c r="N37" s="139"/>
      <c r="O37" s="139"/>
      <c r="P37" s="139"/>
    </row>
    <row r="38" spans="1:18" s="5" customFormat="1" ht="3" customHeight="1" thickBot="1" x14ac:dyDescent="0.3">
      <c r="A38" s="495"/>
      <c r="B38" s="147"/>
      <c r="C38" s="147"/>
      <c r="D38" s="147"/>
      <c r="E38" s="141"/>
      <c r="F38" s="148"/>
      <c r="G38" s="148"/>
      <c r="H38" s="148"/>
      <c r="I38" s="148"/>
      <c r="J38" s="148"/>
      <c r="K38" s="148"/>
      <c r="L38" s="148"/>
      <c r="M38" s="498"/>
      <c r="N38" s="139"/>
      <c r="O38" s="139"/>
      <c r="P38" s="139"/>
    </row>
    <row r="39" spans="1:18" s="5" customFormat="1" ht="15.75" thickBot="1" x14ac:dyDescent="0.3">
      <c r="A39" s="495"/>
      <c r="B39" s="481"/>
      <c r="C39" s="482"/>
      <c r="D39" s="483"/>
      <c r="E39" s="141"/>
      <c r="F39" s="494" t="s">
        <v>256</v>
      </c>
      <c r="G39" s="495"/>
      <c r="H39" s="495"/>
      <c r="I39" s="495"/>
      <c r="J39" s="495"/>
      <c r="K39" s="148"/>
      <c r="L39" s="104"/>
      <c r="M39" s="498"/>
      <c r="N39" s="139"/>
      <c r="O39" s="139"/>
      <c r="P39" s="139"/>
    </row>
    <row r="40" spans="1:18" ht="3" customHeight="1" thickBot="1" x14ac:dyDescent="0.3">
      <c r="A40" s="503"/>
      <c r="B40" s="504"/>
      <c r="C40" s="504"/>
      <c r="D40" s="504"/>
      <c r="E40" s="504"/>
      <c r="F40" s="504"/>
      <c r="G40" s="504"/>
      <c r="H40" s="504"/>
      <c r="I40" s="504"/>
      <c r="J40" s="504"/>
      <c r="K40" s="504"/>
      <c r="L40" s="504"/>
      <c r="M40" s="499"/>
      <c r="N40" s="130"/>
      <c r="O40" s="130"/>
      <c r="P40" s="130"/>
    </row>
    <row r="41" spans="1:18" ht="3" hidden="1" customHeight="1" x14ac:dyDescent="0.25">
      <c r="A41" s="139"/>
      <c r="B41" s="139"/>
      <c r="C41" s="134"/>
      <c r="D41" s="139"/>
      <c r="E41" s="139"/>
      <c r="F41" s="139"/>
      <c r="G41" s="134"/>
      <c r="H41" s="134"/>
      <c r="I41" s="134"/>
      <c r="J41" s="134"/>
      <c r="K41" s="134"/>
      <c r="L41" s="134"/>
      <c r="M41" s="134"/>
      <c r="N41" s="130"/>
      <c r="O41" s="130"/>
      <c r="P41" s="130"/>
    </row>
    <row r="42" spans="1:18" ht="3" hidden="1" customHeight="1" x14ac:dyDescent="0.25">
      <c r="A42" s="139"/>
      <c r="B42" s="139"/>
      <c r="C42" s="134"/>
      <c r="D42" s="139"/>
      <c r="E42" s="139"/>
      <c r="F42" s="139"/>
      <c r="G42" s="134"/>
      <c r="H42" s="134"/>
      <c r="I42" s="134"/>
      <c r="J42" s="134"/>
      <c r="K42" s="134"/>
      <c r="L42" s="134"/>
      <c r="M42" s="134"/>
      <c r="N42" s="130"/>
      <c r="O42" s="130"/>
      <c r="P42" s="130"/>
    </row>
    <row r="43" spans="1:18" hidden="1" x14ac:dyDescent="0.25">
      <c r="A43" s="130"/>
      <c r="B43" s="130"/>
      <c r="C43" s="134"/>
      <c r="D43" s="130" t="s">
        <v>260</v>
      </c>
      <c r="E43" s="139"/>
      <c r="F43" s="130" t="s">
        <v>95</v>
      </c>
      <c r="G43" s="134"/>
      <c r="H43" s="134" t="s">
        <v>188</v>
      </c>
      <c r="I43" s="134"/>
      <c r="J43" s="134" t="s">
        <v>261</v>
      </c>
      <c r="K43" s="134"/>
      <c r="L43" s="130" t="s">
        <v>260</v>
      </c>
      <c r="M43" s="139"/>
      <c r="N43" s="130" t="s">
        <v>95</v>
      </c>
      <c r="O43" s="134"/>
      <c r="P43" s="134" t="s">
        <v>188</v>
      </c>
      <c r="Q43" s="11"/>
      <c r="R43" s="11" t="s">
        <v>261</v>
      </c>
    </row>
    <row r="44" spans="1:18" hidden="1" x14ac:dyDescent="0.25">
      <c r="A44" s="130"/>
      <c r="B44" s="149" t="s">
        <v>186</v>
      </c>
      <c r="C44" s="130"/>
      <c r="D44" s="130"/>
      <c r="E44" s="139"/>
      <c r="F44" s="130"/>
      <c r="G44" s="134"/>
      <c r="H44" s="134"/>
      <c r="I44" s="134"/>
      <c r="J44" s="134"/>
      <c r="K44" s="134"/>
      <c r="L44" s="130"/>
      <c r="M44" s="139"/>
      <c r="N44" s="130"/>
      <c r="O44" s="134"/>
      <c r="P44" s="134"/>
      <c r="Q44" s="11"/>
      <c r="R44" s="11"/>
    </row>
    <row r="45" spans="1:18" hidden="1" x14ac:dyDescent="0.25">
      <c r="A45" s="130"/>
      <c r="B45" s="150" t="s">
        <v>216</v>
      </c>
      <c r="C45" s="130"/>
      <c r="D45" s="130">
        <v>-2</v>
      </c>
      <c r="E45" s="139"/>
      <c r="F45" s="130"/>
      <c r="G45" s="134"/>
      <c r="H45" s="134">
        <v>2</v>
      </c>
      <c r="I45" s="134"/>
      <c r="J45" s="134"/>
      <c r="K45" s="134"/>
      <c r="L45" s="130">
        <f>IF($B$17=$B45,D45,0)</f>
        <v>0</v>
      </c>
      <c r="M45" s="139"/>
      <c r="N45" s="130">
        <f>IF($B$17=$B45,F45,0)</f>
        <v>0</v>
      </c>
      <c r="O45" s="134"/>
      <c r="P45" s="130">
        <f>IF($B$17=$B45,H45,0)</f>
        <v>0</v>
      </c>
      <c r="Q45" s="11"/>
      <c r="R45">
        <f>IF($B$17=$B45,J45,0)</f>
        <v>0</v>
      </c>
    </row>
    <row r="46" spans="1:18" hidden="1" x14ac:dyDescent="0.25">
      <c r="A46" s="130"/>
      <c r="B46" s="150" t="s">
        <v>217</v>
      </c>
      <c r="C46" s="130"/>
      <c r="D46" s="130"/>
      <c r="E46" s="139"/>
      <c r="F46" s="130"/>
      <c r="G46" s="134"/>
      <c r="H46" s="134"/>
      <c r="I46" s="134"/>
      <c r="J46" s="134"/>
      <c r="K46" s="134"/>
      <c r="L46" s="130">
        <f t="shared" ref="L46:L56" si="0">IF($B$17=B46,D46,0)</f>
        <v>0</v>
      </c>
      <c r="M46" s="139"/>
      <c r="N46" s="130">
        <f t="shared" ref="N46:R56" si="1">IF($B$17=$B46,F46,0)</f>
        <v>0</v>
      </c>
      <c r="O46" s="134"/>
      <c r="P46" s="130">
        <f t="shared" si="1"/>
        <v>0</v>
      </c>
      <c r="Q46" s="11"/>
      <c r="R46">
        <f t="shared" si="1"/>
        <v>0</v>
      </c>
    </row>
    <row r="47" spans="1:18" hidden="1" x14ac:dyDescent="0.25">
      <c r="A47" s="130"/>
      <c r="B47" s="150" t="s">
        <v>218</v>
      </c>
      <c r="C47" s="130"/>
      <c r="D47" s="130">
        <v>-2</v>
      </c>
      <c r="E47" s="139"/>
      <c r="F47" s="130">
        <v>2</v>
      </c>
      <c r="G47" s="134"/>
      <c r="H47" s="134"/>
      <c r="I47" s="134"/>
      <c r="J47" s="134"/>
      <c r="K47" s="134"/>
      <c r="L47" s="130">
        <f t="shared" si="0"/>
        <v>0</v>
      </c>
      <c r="M47" s="139"/>
      <c r="N47" s="130">
        <f t="shared" si="1"/>
        <v>0</v>
      </c>
      <c r="O47" s="134"/>
      <c r="P47" s="130">
        <f t="shared" si="1"/>
        <v>0</v>
      </c>
      <c r="Q47" s="11"/>
      <c r="R47">
        <f t="shared" si="1"/>
        <v>0</v>
      </c>
    </row>
    <row r="48" spans="1:18" hidden="1" x14ac:dyDescent="0.25">
      <c r="A48" s="130"/>
      <c r="B48" s="150" t="s">
        <v>219</v>
      </c>
      <c r="C48" s="130"/>
      <c r="D48" s="130"/>
      <c r="E48" s="139"/>
      <c r="F48" s="130"/>
      <c r="G48" s="134"/>
      <c r="H48" s="134"/>
      <c r="I48" s="134"/>
      <c r="J48" s="134"/>
      <c r="K48" s="134"/>
      <c r="L48" s="130">
        <f t="shared" si="0"/>
        <v>0</v>
      </c>
      <c r="M48" s="139"/>
      <c r="N48" s="130">
        <f t="shared" si="1"/>
        <v>0</v>
      </c>
      <c r="O48" s="134"/>
      <c r="P48" s="130">
        <f t="shared" si="1"/>
        <v>0</v>
      </c>
      <c r="Q48" s="11"/>
      <c r="R48">
        <f t="shared" si="1"/>
        <v>0</v>
      </c>
    </row>
    <row r="49" spans="1:18" hidden="1" x14ac:dyDescent="0.25">
      <c r="A49" s="130"/>
      <c r="B49" s="150" t="s">
        <v>220</v>
      </c>
      <c r="C49" s="130"/>
      <c r="D49" s="130">
        <v>2</v>
      </c>
      <c r="E49" s="139"/>
      <c r="F49" s="130">
        <v>-2</v>
      </c>
      <c r="G49" s="134"/>
      <c r="H49" s="134"/>
      <c r="I49" s="134"/>
      <c r="J49" s="134"/>
      <c r="K49" s="134"/>
      <c r="L49" s="130">
        <f t="shared" si="0"/>
        <v>0</v>
      </c>
      <c r="M49" s="139"/>
      <c r="N49" s="130">
        <f t="shared" si="1"/>
        <v>0</v>
      </c>
      <c r="O49" s="134"/>
      <c r="P49" s="130">
        <f t="shared" si="1"/>
        <v>0</v>
      </c>
      <c r="Q49" s="11"/>
      <c r="R49">
        <f t="shared" si="1"/>
        <v>0</v>
      </c>
    </row>
    <row r="50" spans="1:18" hidden="1" x14ac:dyDescent="0.25">
      <c r="A50" s="130"/>
      <c r="B50" s="150" t="s">
        <v>221</v>
      </c>
      <c r="C50" s="130"/>
      <c r="D50" s="130"/>
      <c r="E50" s="139"/>
      <c r="F50" s="130"/>
      <c r="G50" s="134"/>
      <c r="H50" s="134"/>
      <c r="I50" s="134"/>
      <c r="J50" s="134"/>
      <c r="K50" s="134"/>
      <c r="L50" s="130">
        <f t="shared" si="0"/>
        <v>0</v>
      </c>
      <c r="M50" s="139"/>
      <c r="N50" s="130">
        <f t="shared" si="1"/>
        <v>0</v>
      </c>
      <c r="O50" s="134"/>
      <c r="P50" s="130">
        <f t="shared" si="1"/>
        <v>0</v>
      </c>
      <c r="Q50" s="11"/>
      <c r="R50">
        <f t="shared" si="1"/>
        <v>0</v>
      </c>
    </row>
    <row r="51" spans="1:18" hidden="1" x14ac:dyDescent="0.25">
      <c r="A51" s="130"/>
      <c r="B51" s="150" t="s">
        <v>222</v>
      </c>
      <c r="C51" s="130"/>
      <c r="D51" s="130">
        <v>-4</v>
      </c>
      <c r="E51" s="139"/>
      <c r="F51" s="130">
        <v>4</v>
      </c>
      <c r="G51" s="134"/>
      <c r="H51" s="134"/>
      <c r="I51" s="134"/>
      <c r="J51" s="134"/>
      <c r="K51" s="134"/>
      <c r="L51" s="130">
        <f t="shared" si="0"/>
        <v>0</v>
      </c>
      <c r="M51" s="139"/>
      <c r="N51" s="130">
        <f t="shared" si="1"/>
        <v>0</v>
      </c>
      <c r="O51" s="134"/>
      <c r="P51" s="130">
        <f t="shared" si="1"/>
        <v>0</v>
      </c>
      <c r="Q51" s="11"/>
      <c r="R51">
        <f t="shared" si="1"/>
        <v>0</v>
      </c>
    </row>
    <row r="52" spans="1:18" hidden="1" x14ac:dyDescent="0.25">
      <c r="A52" s="130"/>
      <c r="B52" s="150" t="s">
        <v>223</v>
      </c>
      <c r="C52" s="130"/>
      <c r="D52" s="130">
        <v>4</v>
      </c>
      <c r="E52" s="139"/>
      <c r="F52" s="130">
        <v>-4</v>
      </c>
      <c r="G52" s="134"/>
      <c r="H52" s="134"/>
      <c r="I52" s="134"/>
      <c r="J52" s="134"/>
      <c r="K52" s="134"/>
      <c r="L52" s="130">
        <f t="shared" si="0"/>
        <v>0</v>
      </c>
      <c r="M52" s="139"/>
      <c r="N52" s="130">
        <f t="shared" si="1"/>
        <v>0</v>
      </c>
      <c r="O52" s="134"/>
      <c r="P52" s="130">
        <f t="shared" si="1"/>
        <v>0</v>
      </c>
      <c r="Q52" s="11"/>
      <c r="R52">
        <f t="shared" si="1"/>
        <v>0</v>
      </c>
    </row>
    <row r="53" spans="1:18" hidden="1" x14ac:dyDescent="0.25">
      <c r="A53" s="130"/>
      <c r="B53" s="150" t="s">
        <v>262</v>
      </c>
      <c r="C53" s="130"/>
      <c r="D53" s="130"/>
      <c r="E53" s="139"/>
      <c r="F53" s="130"/>
      <c r="G53" s="134"/>
      <c r="H53" s="134"/>
      <c r="I53" s="134"/>
      <c r="J53" s="134"/>
      <c r="K53" s="134"/>
      <c r="L53" s="130">
        <f t="shared" si="0"/>
        <v>0</v>
      </c>
      <c r="M53" s="134"/>
      <c r="N53" s="130">
        <f t="shared" si="1"/>
        <v>0</v>
      </c>
      <c r="O53" s="130"/>
      <c r="P53" s="130">
        <f t="shared" si="1"/>
        <v>0</v>
      </c>
      <c r="R53">
        <f t="shared" si="1"/>
        <v>0</v>
      </c>
    </row>
    <row r="54" spans="1:18" hidden="1" x14ac:dyDescent="0.25">
      <c r="A54" s="130"/>
      <c r="B54" s="150" t="s">
        <v>225</v>
      </c>
      <c r="C54" s="130"/>
      <c r="D54" s="130"/>
      <c r="E54" s="139"/>
      <c r="F54" s="130"/>
      <c r="G54" s="134"/>
      <c r="H54" s="134"/>
      <c r="I54" s="134"/>
      <c r="J54" s="134"/>
      <c r="K54" s="134"/>
      <c r="L54" s="130">
        <f t="shared" si="0"/>
        <v>0</v>
      </c>
      <c r="M54" s="134"/>
      <c r="N54" s="130">
        <f t="shared" si="1"/>
        <v>0</v>
      </c>
      <c r="O54" s="130"/>
      <c r="P54" s="130">
        <f t="shared" si="1"/>
        <v>0</v>
      </c>
      <c r="R54">
        <f t="shared" si="1"/>
        <v>0</v>
      </c>
    </row>
    <row r="55" spans="1:18" hidden="1" x14ac:dyDescent="0.25">
      <c r="A55" s="130"/>
      <c r="B55" s="150" t="s">
        <v>226</v>
      </c>
      <c r="C55" s="130"/>
      <c r="D55" s="130"/>
      <c r="E55" s="139"/>
      <c r="F55" s="130"/>
      <c r="G55" s="134"/>
      <c r="H55" s="134"/>
      <c r="I55" s="134"/>
      <c r="J55" s="134"/>
      <c r="K55" s="134"/>
      <c r="L55" s="130">
        <f t="shared" si="0"/>
        <v>0</v>
      </c>
      <c r="M55" s="134"/>
      <c r="N55" s="130">
        <f t="shared" si="1"/>
        <v>0</v>
      </c>
      <c r="O55" s="130"/>
      <c r="P55" s="130">
        <f t="shared" si="1"/>
        <v>0</v>
      </c>
      <c r="R55">
        <f t="shared" si="1"/>
        <v>0</v>
      </c>
    </row>
    <row r="56" spans="1:18" ht="15.75" hidden="1" thickBot="1" x14ac:dyDescent="0.3">
      <c r="A56" s="130"/>
      <c r="B56" s="151" t="s">
        <v>227</v>
      </c>
      <c r="C56" s="130"/>
      <c r="D56" s="130"/>
      <c r="E56" s="139"/>
      <c r="F56" s="130"/>
      <c r="G56" s="134"/>
      <c r="H56" s="134"/>
      <c r="I56" s="134"/>
      <c r="J56" s="134"/>
      <c r="K56" s="134"/>
      <c r="L56" s="130">
        <f t="shared" si="0"/>
        <v>0</v>
      </c>
      <c r="M56" s="134"/>
      <c r="N56" s="130">
        <f t="shared" si="1"/>
        <v>0</v>
      </c>
      <c r="O56" s="130"/>
      <c r="P56" s="130">
        <f t="shared" si="1"/>
        <v>0</v>
      </c>
      <c r="R56">
        <f t="shared" si="1"/>
        <v>0</v>
      </c>
    </row>
    <row r="57" spans="1:18" hidden="1" x14ac:dyDescent="0.25">
      <c r="A57" s="130"/>
      <c r="B57" s="130"/>
      <c r="C57" s="130"/>
      <c r="D57" s="130"/>
      <c r="E57" s="139"/>
      <c r="F57" s="130"/>
      <c r="G57" s="134"/>
      <c r="H57" s="134"/>
      <c r="I57" s="134"/>
      <c r="J57" s="134"/>
      <c r="K57" s="134"/>
      <c r="L57" s="134">
        <f>SUM(L45:L56)</f>
        <v>0</v>
      </c>
      <c r="M57" s="134"/>
      <c r="N57" s="134">
        <f>SUM(N45:N56)</f>
        <v>0</v>
      </c>
      <c r="O57" s="130"/>
      <c r="P57" s="134">
        <f>SUM(P45:P56)</f>
        <v>0</v>
      </c>
      <c r="R57" s="11">
        <f>SUM(R45:R56)</f>
        <v>0</v>
      </c>
    </row>
    <row r="58" spans="1:18" hidden="1" x14ac:dyDescent="0.25">
      <c r="A58" s="130"/>
      <c r="B58" s="149" t="s">
        <v>56</v>
      </c>
      <c r="C58" s="130"/>
      <c r="D58" s="130"/>
      <c r="E58" s="139"/>
      <c r="F58" s="130"/>
      <c r="G58" s="134"/>
      <c r="H58" s="134"/>
      <c r="I58" s="134"/>
      <c r="J58" s="134"/>
      <c r="K58" s="134"/>
      <c r="L58" s="134"/>
      <c r="M58" s="134"/>
      <c r="N58" s="130"/>
      <c r="O58" s="130"/>
      <c r="P58" s="130"/>
    </row>
    <row r="59" spans="1:18" hidden="1" x14ac:dyDescent="0.25">
      <c r="A59" s="130"/>
      <c r="B59" s="150" t="s">
        <v>263</v>
      </c>
      <c r="C59" s="130"/>
      <c r="D59" s="130">
        <v>2</v>
      </c>
      <c r="E59" s="139"/>
      <c r="F59" s="130">
        <v>2</v>
      </c>
      <c r="G59" s="134"/>
      <c r="H59" s="134"/>
      <c r="I59" s="134"/>
      <c r="J59" s="134">
        <v>1</v>
      </c>
      <c r="K59" s="134"/>
      <c r="L59" s="130">
        <f>IF(OR($F$17=$B59,$F$19=$B59,$F$21=$B59,$F$23=$B59)=TRUE,D59,0)</f>
        <v>0</v>
      </c>
      <c r="M59" s="134"/>
      <c r="N59" s="130">
        <f>IF(OR($F$17=$B59,$F$19=$B59,$F$21=$B59,$F$23=$B59)=TRUE,F59,0)</f>
        <v>0</v>
      </c>
      <c r="O59" s="130"/>
      <c r="P59" s="130">
        <f>IF(OR($F$17=$B59,$F$19=$B59,$F$21=$B59,$F$23=$B59)=TRUE,H59,0)</f>
        <v>0</v>
      </c>
      <c r="R59">
        <f>IF(OR($F$17=$B59,$F$19=$B59,$F$21=$B59,$F$23=$B59)=TRUE,J59,0)</f>
        <v>0</v>
      </c>
    </row>
    <row r="60" spans="1:18" hidden="1" x14ac:dyDescent="0.25">
      <c r="A60" s="130"/>
      <c r="B60" s="150" t="s">
        <v>264</v>
      </c>
      <c r="C60" s="130"/>
      <c r="D60" s="130">
        <v>2</v>
      </c>
      <c r="E60" s="139"/>
      <c r="F60" s="130">
        <v>2</v>
      </c>
      <c r="G60" s="134"/>
      <c r="H60" s="134"/>
      <c r="I60" s="134"/>
      <c r="J60" s="134">
        <v>2</v>
      </c>
      <c r="K60" s="134"/>
      <c r="L60" s="130">
        <f t="shared" ref="L60:R71" si="2">IF(OR($F$17=$B60,$F$19=$B60,$F$21=$B60,$F$23=$B60)=TRUE,D60,0)</f>
        <v>0</v>
      </c>
      <c r="M60" s="134"/>
      <c r="N60" s="130">
        <f t="shared" si="2"/>
        <v>0</v>
      </c>
      <c r="O60" s="130"/>
      <c r="P60" s="130">
        <f t="shared" si="2"/>
        <v>0</v>
      </c>
      <c r="R60">
        <f t="shared" si="2"/>
        <v>0</v>
      </c>
    </row>
    <row r="61" spans="1:18" hidden="1" x14ac:dyDescent="0.25">
      <c r="A61" s="130"/>
      <c r="B61" s="150" t="s">
        <v>265</v>
      </c>
      <c r="C61" s="130"/>
      <c r="D61" s="130">
        <v>2</v>
      </c>
      <c r="E61" s="139"/>
      <c r="F61" s="130">
        <v>2</v>
      </c>
      <c r="G61" s="134"/>
      <c r="H61" s="134"/>
      <c r="I61" s="134"/>
      <c r="J61" s="134">
        <v>3</v>
      </c>
      <c r="K61" s="134"/>
      <c r="L61" s="130">
        <f t="shared" si="2"/>
        <v>0</v>
      </c>
      <c r="M61" s="134"/>
      <c r="N61" s="130">
        <f t="shared" si="2"/>
        <v>0</v>
      </c>
      <c r="O61" s="130"/>
      <c r="P61" s="130">
        <f t="shared" si="2"/>
        <v>0</v>
      </c>
      <c r="R61">
        <f t="shared" si="2"/>
        <v>0</v>
      </c>
    </row>
    <row r="62" spans="1:18" hidden="1" x14ac:dyDescent="0.25">
      <c r="A62" s="130"/>
      <c r="B62" s="150" t="s">
        <v>266</v>
      </c>
      <c r="C62" s="130"/>
      <c r="D62" s="130">
        <v>2</v>
      </c>
      <c r="E62" s="139"/>
      <c r="F62" s="130">
        <v>2</v>
      </c>
      <c r="G62" s="134"/>
      <c r="H62" s="134"/>
      <c r="I62" s="134"/>
      <c r="J62" s="134">
        <v>4</v>
      </c>
      <c r="K62" s="134"/>
      <c r="L62" s="130">
        <f t="shared" si="2"/>
        <v>0</v>
      </c>
      <c r="M62" s="134"/>
      <c r="N62" s="130">
        <f t="shared" si="2"/>
        <v>0</v>
      </c>
      <c r="O62" s="130"/>
      <c r="P62" s="130">
        <f t="shared" si="2"/>
        <v>0</v>
      </c>
      <c r="R62">
        <f t="shared" si="2"/>
        <v>0</v>
      </c>
    </row>
    <row r="63" spans="1:18" hidden="1" x14ac:dyDescent="0.25">
      <c r="A63" s="130"/>
      <c r="B63" s="150" t="s">
        <v>267</v>
      </c>
      <c r="C63" s="130"/>
      <c r="D63" s="130">
        <v>2</v>
      </c>
      <c r="E63" s="139"/>
      <c r="F63" s="130">
        <v>2</v>
      </c>
      <c r="G63" s="134"/>
      <c r="H63" s="134"/>
      <c r="I63" s="134"/>
      <c r="J63" s="134">
        <v>5</v>
      </c>
      <c r="K63" s="134"/>
      <c r="L63" s="130">
        <f t="shared" si="2"/>
        <v>0</v>
      </c>
      <c r="M63" s="134"/>
      <c r="N63" s="130">
        <f t="shared" si="2"/>
        <v>0</v>
      </c>
      <c r="O63" s="130"/>
      <c r="P63" s="130">
        <f t="shared" si="2"/>
        <v>0</v>
      </c>
      <c r="R63">
        <f t="shared" si="2"/>
        <v>0</v>
      </c>
    </row>
    <row r="64" spans="1:18" hidden="1" x14ac:dyDescent="0.25">
      <c r="A64" s="130"/>
      <c r="B64" s="150" t="s">
        <v>228</v>
      </c>
      <c r="C64" s="130"/>
      <c r="D64" s="130">
        <v>1</v>
      </c>
      <c r="E64" s="139"/>
      <c r="F64" s="130"/>
      <c r="G64" s="134"/>
      <c r="H64" s="134"/>
      <c r="I64" s="134"/>
      <c r="J64" s="134">
        <v>5</v>
      </c>
      <c r="K64" s="134"/>
      <c r="L64" s="130">
        <f t="shared" si="2"/>
        <v>0</v>
      </c>
      <c r="M64" s="134"/>
      <c r="N64" s="130">
        <f t="shared" si="2"/>
        <v>0</v>
      </c>
      <c r="O64" s="130"/>
      <c r="P64" s="130">
        <f t="shared" si="2"/>
        <v>0</v>
      </c>
      <c r="R64">
        <f t="shared" si="2"/>
        <v>0</v>
      </c>
    </row>
    <row r="65" spans="1:18" hidden="1" x14ac:dyDescent="0.25">
      <c r="A65" s="130"/>
      <c r="B65" s="150" t="s">
        <v>229</v>
      </c>
      <c r="C65" s="130"/>
      <c r="D65" s="130">
        <v>2</v>
      </c>
      <c r="E65" s="139"/>
      <c r="F65" s="130"/>
      <c r="G65" s="134"/>
      <c r="H65" s="134"/>
      <c r="I65" s="134"/>
      <c r="J65" s="134">
        <v>50</v>
      </c>
      <c r="K65" s="134"/>
      <c r="L65" s="130">
        <f t="shared" si="2"/>
        <v>0</v>
      </c>
      <c r="M65" s="134"/>
      <c r="N65" s="130">
        <f t="shared" si="2"/>
        <v>0</v>
      </c>
      <c r="O65" s="130"/>
      <c r="P65" s="130">
        <f t="shared" si="2"/>
        <v>0</v>
      </c>
      <c r="R65">
        <f t="shared" si="2"/>
        <v>0</v>
      </c>
    </row>
    <row r="66" spans="1:18" hidden="1" x14ac:dyDescent="0.25">
      <c r="A66" s="130"/>
      <c r="B66" s="150" t="s">
        <v>230</v>
      </c>
      <c r="C66" s="130"/>
      <c r="D66" s="130"/>
      <c r="E66" s="139"/>
      <c r="F66" s="130">
        <v>1</v>
      </c>
      <c r="G66" s="134"/>
      <c r="H66" s="134"/>
      <c r="I66" s="134"/>
      <c r="J66" s="134">
        <v>3</v>
      </c>
      <c r="K66" s="134"/>
      <c r="L66" s="130">
        <f t="shared" si="2"/>
        <v>0</v>
      </c>
      <c r="M66" s="134"/>
      <c r="N66" s="130">
        <f t="shared" si="2"/>
        <v>0</v>
      </c>
      <c r="O66" s="130"/>
      <c r="P66" s="130">
        <f t="shared" si="2"/>
        <v>0</v>
      </c>
      <c r="R66">
        <f t="shared" si="2"/>
        <v>0</v>
      </c>
    </row>
    <row r="67" spans="1:18" hidden="1" x14ac:dyDescent="0.25">
      <c r="A67" s="130"/>
      <c r="B67" s="150" t="s">
        <v>231</v>
      </c>
      <c r="C67" s="130"/>
      <c r="D67" s="130"/>
      <c r="E67" s="139"/>
      <c r="F67" s="130">
        <v>2</v>
      </c>
      <c r="G67" s="134"/>
      <c r="H67" s="134"/>
      <c r="I67" s="134"/>
      <c r="J67" s="134">
        <v>15</v>
      </c>
      <c r="K67" s="134"/>
      <c r="L67" s="130">
        <f t="shared" si="2"/>
        <v>0</v>
      </c>
      <c r="M67" s="134"/>
      <c r="N67" s="130">
        <f t="shared" si="2"/>
        <v>0</v>
      </c>
      <c r="O67" s="130"/>
      <c r="P67" s="130">
        <f t="shared" si="2"/>
        <v>0</v>
      </c>
      <c r="R67">
        <f t="shared" si="2"/>
        <v>0</v>
      </c>
    </row>
    <row r="68" spans="1:18" hidden="1" x14ac:dyDescent="0.25">
      <c r="A68" s="130"/>
      <c r="B68" s="150" t="s">
        <v>232</v>
      </c>
      <c r="C68" s="130"/>
      <c r="D68" s="130"/>
      <c r="E68" s="139"/>
      <c r="F68" s="130"/>
      <c r="G68" s="134"/>
      <c r="H68" s="134"/>
      <c r="I68" s="134"/>
      <c r="J68" s="134">
        <v>10</v>
      </c>
      <c r="K68" s="134"/>
      <c r="L68" s="130">
        <f t="shared" si="2"/>
        <v>0</v>
      </c>
      <c r="M68" s="134"/>
      <c r="N68" s="130">
        <f t="shared" si="2"/>
        <v>0</v>
      </c>
      <c r="O68" s="130"/>
      <c r="P68" s="130">
        <f t="shared" si="2"/>
        <v>0</v>
      </c>
      <c r="R68">
        <f t="shared" si="2"/>
        <v>0</v>
      </c>
    </row>
    <row r="69" spans="1:18" hidden="1" x14ac:dyDescent="0.25">
      <c r="A69" s="130"/>
      <c r="B69" s="150" t="s">
        <v>233</v>
      </c>
      <c r="C69" s="130"/>
      <c r="D69" s="130"/>
      <c r="E69" s="139"/>
      <c r="F69" s="130"/>
      <c r="G69" s="134"/>
      <c r="H69" s="134"/>
      <c r="I69" s="134"/>
      <c r="J69" s="134">
        <v>2</v>
      </c>
      <c r="K69" s="134"/>
      <c r="L69" s="130">
        <f t="shared" si="2"/>
        <v>0</v>
      </c>
      <c r="M69" s="134"/>
      <c r="N69" s="130">
        <f t="shared" si="2"/>
        <v>0</v>
      </c>
      <c r="O69" s="130"/>
      <c r="P69" s="130">
        <f t="shared" si="2"/>
        <v>0</v>
      </c>
      <c r="R69">
        <f t="shared" si="2"/>
        <v>0</v>
      </c>
    </row>
    <row r="70" spans="1:18" hidden="1" x14ac:dyDescent="0.25">
      <c r="A70" s="130"/>
      <c r="B70" s="150" t="s">
        <v>234</v>
      </c>
      <c r="C70" s="130"/>
      <c r="D70" s="130"/>
      <c r="E70" s="139"/>
      <c r="F70" s="130"/>
      <c r="G70" s="134"/>
      <c r="H70" s="134"/>
      <c r="I70" s="134"/>
      <c r="J70" s="134">
        <v>15</v>
      </c>
      <c r="K70" s="134"/>
      <c r="L70" s="130">
        <f t="shared" si="2"/>
        <v>0</v>
      </c>
      <c r="M70" s="134"/>
      <c r="N70" s="130">
        <f t="shared" si="2"/>
        <v>0</v>
      </c>
      <c r="O70" s="130"/>
      <c r="P70" s="130">
        <f t="shared" si="2"/>
        <v>0</v>
      </c>
      <c r="R70">
        <f t="shared" si="2"/>
        <v>0</v>
      </c>
    </row>
    <row r="71" spans="1:18" ht="15.75" hidden="1" thickBot="1" x14ac:dyDescent="0.3">
      <c r="A71" s="130"/>
      <c r="B71" s="151" t="s">
        <v>253</v>
      </c>
      <c r="C71" s="130"/>
      <c r="D71" s="130"/>
      <c r="E71" s="139"/>
      <c r="F71" s="130"/>
      <c r="G71" s="134"/>
      <c r="H71" s="134"/>
      <c r="I71" s="134"/>
      <c r="J71" s="134">
        <v>10</v>
      </c>
      <c r="K71" s="134"/>
      <c r="L71" s="130">
        <f t="shared" si="2"/>
        <v>0</v>
      </c>
      <c r="M71" s="134"/>
      <c r="N71" s="130">
        <f t="shared" si="2"/>
        <v>0</v>
      </c>
      <c r="O71" s="130"/>
      <c r="P71" s="130">
        <f t="shared" si="2"/>
        <v>0</v>
      </c>
      <c r="R71">
        <f t="shared" si="2"/>
        <v>0</v>
      </c>
    </row>
    <row r="72" spans="1:18" hidden="1" x14ac:dyDescent="0.25">
      <c r="A72" s="130"/>
      <c r="B72" s="130"/>
      <c r="C72" s="130"/>
      <c r="D72" s="130"/>
      <c r="E72" s="139"/>
      <c r="F72" s="130"/>
      <c r="G72" s="134"/>
      <c r="H72" s="134"/>
      <c r="I72" s="134"/>
      <c r="J72" s="134"/>
      <c r="K72" s="134"/>
      <c r="L72" s="134">
        <f>SUM(L59:L71)</f>
        <v>0</v>
      </c>
      <c r="M72" s="134"/>
      <c r="N72" s="134">
        <f>SUM(N59:N71)</f>
        <v>0</v>
      </c>
      <c r="O72" s="130"/>
      <c r="P72" s="134">
        <f>SUM(P59:P71)</f>
        <v>0</v>
      </c>
      <c r="R72" s="11">
        <f>SUM(R59:R71)</f>
        <v>0</v>
      </c>
    </row>
    <row r="73" spans="1:18" hidden="1" x14ac:dyDescent="0.25">
      <c r="A73" s="130"/>
      <c r="B73" s="149" t="s">
        <v>235</v>
      </c>
      <c r="C73" s="130"/>
      <c r="D73" s="130"/>
      <c r="E73" s="139"/>
      <c r="F73" s="130"/>
      <c r="G73" s="134"/>
      <c r="H73" s="134"/>
      <c r="I73" s="134"/>
      <c r="J73" s="134"/>
      <c r="K73" s="134"/>
      <c r="L73" s="130"/>
      <c r="M73" s="134"/>
      <c r="N73" s="130"/>
      <c r="O73" s="130"/>
      <c r="P73" s="130"/>
    </row>
    <row r="74" spans="1:18" hidden="1" x14ac:dyDescent="0.25">
      <c r="A74" s="130"/>
      <c r="B74" s="150" t="s">
        <v>236</v>
      </c>
      <c r="C74" s="130"/>
      <c r="D74" s="130"/>
      <c r="E74" s="139"/>
      <c r="F74" s="130"/>
      <c r="G74" s="134"/>
      <c r="H74" s="134"/>
      <c r="I74" s="134"/>
      <c r="J74" s="134"/>
      <c r="K74" s="134"/>
      <c r="L74" s="130">
        <f>IF(OR($B$31=$B74,$B$33=$B74,$B$35=$B74,$B$35=$B74,$B$37=$B74,$B$39=$B74)=TRUE,D74,0)</f>
        <v>0</v>
      </c>
      <c r="M74" s="134"/>
      <c r="N74" s="130">
        <f t="shared" ref="N74:N90" si="3">IF(OR($B$31=$B74,$B$33=$B74,$B$35=$B74,$B$35=$B74,$B$37=$B74,$B$39=$B74)=TRUE,F74,0)</f>
        <v>0</v>
      </c>
      <c r="O74" s="130"/>
      <c r="P74" s="130">
        <f t="shared" ref="P74:P90" si="4">IF(OR($B$31=$B74,$B$33=$B74,$B$35=$B74,$B$35=$B74,$B$37=$B74,$B$39=$B74)=TRUE,H74,0)</f>
        <v>0</v>
      </c>
      <c r="R74">
        <f t="shared" ref="R74:R90" si="5">IF(OR($B$31=$B74,$B$33=$B74,$B$35=$B74,$B$35=$B74,$B$37=$B74,$B$39=$B74)=TRUE,J74,0)</f>
        <v>0</v>
      </c>
    </row>
    <row r="75" spans="1:18" hidden="1" x14ac:dyDescent="0.25">
      <c r="A75" s="130"/>
      <c r="B75" s="150" t="s">
        <v>240</v>
      </c>
      <c r="C75" s="130"/>
      <c r="D75" s="130"/>
      <c r="E75" s="139"/>
      <c r="F75" s="130"/>
      <c r="G75" s="134"/>
      <c r="H75" s="134"/>
      <c r="I75" s="134"/>
      <c r="J75" s="134"/>
      <c r="K75" s="134"/>
      <c r="L75" s="130">
        <f t="shared" ref="L75:L90" si="6">IF(OR($B$31=$B75,$B$33=$B75,$B$35=$B75,$B$35=$B75,$B$37=$B75,$B$39=$B75)=TRUE,D75,0)</f>
        <v>0</v>
      </c>
      <c r="M75" s="134"/>
      <c r="N75" s="130">
        <f t="shared" si="3"/>
        <v>0</v>
      </c>
      <c r="O75" s="130"/>
      <c r="P75" s="130">
        <f t="shared" si="4"/>
        <v>0</v>
      </c>
      <c r="R75">
        <f t="shared" si="5"/>
        <v>0</v>
      </c>
    </row>
    <row r="76" spans="1:18" hidden="1" x14ac:dyDescent="0.25">
      <c r="A76" s="130"/>
      <c r="B76" s="150" t="s">
        <v>251</v>
      </c>
      <c r="C76" s="130"/>
      <c r="D76" s="130"/>
      <c r="E76" s="139"/>
      <c r="F76" s="130"/>
      <c r="G76" s="134"/>
      <c r="H76" s="134"/>
      <c r="I76" s="134"/>
      <c r="J76" s="134">
        <v>-1</v>
      </c>
      <c r="K76" s="134"/>
      <c r="L76" s="130">
        <f t="shared" si="6"/>
        <v>0</v>
      </c>
      <c r="M76" s="134"/>
      <c r="N76" s="130">
        <f t="shared" si="3"/>
        <v>0</v>
      </c>
      <c r="O76" s="130"/>
      <c r="P76" s="130">
        <f t="shared" si="4"/>
        <v>0</v>
      </c>
      <c r="R76">
        <f t="shared" si="5"/>
        <v>0</v>
      </c>
    </row>
    <row r="77" spans="1:18" hidden="1" x14ac:dyDescent="0.25">
      <c r="A77" s="130"/>
      <c r="B77" s="150" t="s">
        <v>237</v>
      </c>
      <c r="C77" s="134"/>
      <c r="D77" s="130"/>
      <c r="E77" s="139"/>
      <c r="F77" s="130"/>
      <c r="G77" s="134"/>
      <c r="H77" s="134"/>
      <c r="I77" s="134"/>
      <c r="J77" s="134"/>
      <c r="K77" s="134"/>
      <c r="L77" s="130">
        <f t="shared" si="6"/>
        <v>0</v>
      </c>
      <c r="M77" s="134"/>
      <c r="N77" s="130">
        <f t="shared" si="3"/>
        <v>0</v>
      </c>
      <c r="O77" s="130"/>
      <c r="P77" s="130">
        <f t="shared" si="4"/>
        <v>0</v>
      </c>
      <c r="R77">
        <f t="shared" si="5"/>
        <v>0</v>
      </c>
    </row>
    <row r="78" spans="1:18" hidden="1" x14ac:dyDescent="0.25">
      <c r="A78" s="130"/>
      <c r="B78" s="150" t="s">
        <v>239</v>
      </c>
      <c r="C78" s="134"/>
      <c r="D78" s="130"/>
      <c r="E78" s="139"/>
      <c r="F78" s="130"/>
      <c r="G78" s="134"/>
      <c r="H78" s="134"/>
      <c r="I78" s="134"/>
      <c r="J78" s="134"/>
      <c r="K78" s="134"/>
      <c r="L78" s="130">
        <f t="shared" si="6"/>
        <v>0</v>
      </c>
      <c r="M78" s="134"/>
      <c r="N78" s="130">
        <f t="shared" si="3"/>
        <v>0</v>
      </c>
      <c r="O78" s="130"/>
      <c r="P78" s="130">
        <f t="shared" si="4"/>
        <v>0</v>
      </c>
      <c r="R78">
        <f t="shared" si="5"/>
        <v>0</v>
      </c>
    </row>
    <row r="79" spans="1:18" hidden="1" x14ac:dyDescent="0.25">
      <c r="A79" s="130"/>
      <c r="B79" s="150" t="s">
        <v>243</v>
      </c>
      <c r="C79" s="134"/>
      <c r="D79" s="130"/>
      <c r="E79" s="139"/>
      <c r="F79" s="130"/>
      <c r="G79" s="134"/>
      <c r="H79" s="134"/>
      <c r="I79" s="134"/>
      <c r="J79" s="134"/>
      <c r="K79" s="134"/>
      <c r="L79" s="130">
        <f t="shared" si="6"/>
        <v>0</v>
      </c>
      <c r="M79" s="134"/>
      <c r="N79" s="130">
        <f t="shared" si="3"/>
        <v>0</v>
      </c>
      <c r="O79" s="130"/>
      <c r="P79" s="130">
        <f t="shared" si="4"/>
        <v>0</v>
      </c>
      <c r="R79">
        <f t="shared" si="5"/>
        <v>0</v>
      </c>
    </row>
    <row r="80" spans="1:18" hidden="1" x14ac:dyDescent="0.25">
      <c r="A80" s="130"/>
      <c r="B80" s="150" t="s">
        <v>252</v>
      </c>
      <c r="C80" s="134"/>
      <c r="D80" s="130"/>
      <c r="E80" s="139"/>
      <c r="F80" s="130"/>
      <c r="G80" s="134"/>
      <c r="H80" s="134"/>
      <c r="I80" s="134"/>
      <c r="J80" s="134"/>
      <c r="K80" s="134"/>
      <c r="L80" s="130">
        <f t="shared" si="6"/>
        <v>0</v>
      </c>
      <c r="M80" s="134"/>
      <c r="N80" s="130">
        <f t="shared" si="3"/>
        <v>0</v>
      </c>
      <c r="O80" s="130"/>
      <c r="P80" s="130">
        <f t="shared" si="4"/>
        <v>0</v>
      </c>
      <c r="R80">
        <f t="shared" si="5"/>
        <v>0</v>
      </c>
    </row>
    <row r="81" spans="1:18" hidden="1" x14ac:dyDescent="0.25">
      <c r="A81" s="130"/>
      <c r="B81" s="150" t="s">
        <v>244</v>
      </c>
      <c r="C81" s="134"/>
      <c r="D81" s="130"/>
      <c r="E81" s="139"/>
      <c r="F81" s="130">
        <v>1</v>
      </c>
      <c r="G81" s="134"/>
      <c r="H81" s="134"/>
      <c r="I81" s="134"/>
      <c r="J81" s="134"/>
      <c r="K81" s="134"/>
      <c r="L81" s="130">
        <f t="shared" si="6"/>
        <v>0</v>
      </c>
      <c r="M81" s="134"/>
      <c r="N81" s="130">
        <f t="shared" si="3"/>
        <v>0</v>
      </c>
      <c r="O81" s="130"/>
      <c r="P81" s="130">
        <f t="shared" si="4"/>
        <v>0</v>
      </c>
      <c r="R81">
        <f t="shared" si="5"/>
        <v>0</v>
      </c>
    </row>
    <row r="82" spans="1:18" hidden="1" x14ac:dyDescent="0.25">
      <c r="A82" s="130"/>
      <c r="B82" s="150" t="s">
        <v>245</v>
      </c>
      <c r="C82" s="134"/>
      <c r="D82" s="130"/>
      <c r="E82" s="139"/>
      <c r="F82" s="130"/>
      <c r="G82" s="134"/>
      <c r="H82" s="134"/>
      <c r="I82" s="134"/>
      <c r="J82" s="134"/>
      <c r="K82" s="134"/>
      <c r="L82" s="130">
        <f t="shared" si="6"/>
        <v>0</v>
      </c>
      <c r="M82" s="134"/>
      <c r="N82" s="130">
        <f t="shared" si="3"/>
        <v>0</v>
      </c>
      <c r="O82" s="130"/>
      <c r="P82" s="130">
        <f t="shared" si="4"/>
        <v>0</v>
      </c>
      <c r="R82">
        <f t="shared" si="5"/>
        <v>0</v>
      </c>
    </row>
    <row r="83" spans="1:18" hidden="1" x14ac:dyDescent="0.25">
      <c r="A83" s="130"/>
      <c r="B83" s="150" t="s">
        <v>241</v>
      </c>
      <c r="C83" s="134"/>
      <c r="D83" s="130"/>
      <c r="E83" s="139"/>
      <c r="F83" s="130"/>
      <c r="G83" s="134"/>
      <c r="H83" s="134"/>
      <c r="I83" s="134"/>
      <c r="J83" s="134"/>
      <c r="K83" s="134"/>
      <c r="L83" s="130">
        <f t="shared" si="6"/>
        <v>0</v>
      </c>
      <c r="M83" s="134"/>
      <c r="N83" s="130">
        <f t="shared" si="3"/>
        <v>0</v>
      </c>
      <c r="O83" s="130"/>
      <c r="P83" s="130">
        <f t="shared" si="4"/>
        <v>0</v>
      </c>
      <c r="R83">
        <f t="shared" si="5"/>
        <v>0</v>
      </c>
    </row>
    <row r="84" spans="1:18" hidden="1" x14ac:dyDescent="0.25">
      <c r="A84" s="130"/>
      <c r="B84" s="150" t="s">
        <v>246</v>
      </c>
      <c r="C84" s="134"/>
      <c r="D84" s="130"/>
      <c r="E84" s="139"/>
      <c r="F84" s="130"/>
      <c r="G84" s="134"/>
      <c r="H84" s="134"/>
      <c r="I84" s="134"/>
      <c r="J84" s="134"/>
      <c r="K84" s="134"/>
      <c r="L84" s="130">
        <f t="shared" si="6"/>
        <v>0</v>
      </c>
      <c r="M84" s="134"/>
      <c r="N84" s="130">
        <f t="shared" si="3"/>
        <v>0</v>
      </c>
      <c r="O84" s="130"/>
      <c r="P84" s="130">
        <f t="shared" si="4"/>
        <v>0</v>
      </c>
      <c r="R84">
        <f t="shared" si="5"/>
        <v>0</v>
      </c>
    </row>
    <row r="85" spans="1:18" hidden="1" x14ac:dyDescent="0.25">
      <c r="A85" s="130"/>
      <c r="B85" s="150" t="s">
        <v>238</v>
      </c>
      <c r="C85" s="134"/>
      <c r="D85" s="130"/>
      <c r="E85" s="139"/>
      <c r="F85" s="130"/>
      <c r="G85" s="134"/>
      <c r="H85" s="134"/>
      <c r="I85" s="134"/>
      <c r="J85" s="134"/>
      <c r="K85" s="134"/>
      <c r="L85" s="130">
        <f t="shared" si="6"/>
        <v>0</v>
      </c>
      <c r="M85" s="134"/>
      <c r="N85" s="130">
        <f t="shared" si="3"/>
        <v>0</v>
      </c>
      <c r="O85" s="130"/>
      <c r="P85" s="130">
        <f t="shared" si="4"/>
        <v>0</v>
      </c>
      <c r="R85">
        <f t="shared" si="5"/>
        <v>0</v>
      </c>
    </row>
    <row r="86" spans="1:18" hidden="1" x14ac:dyDescent="0.25">
      <c r="A86" s="130"/>
      <c r="B86" s="150" t="s">
        <v>247</v>
      </c>
      <c r="C86" s="134"/>
      <c r="D86" s="130"/>
      <c r="E86" s="139"/>
      <c r="F86" s="130"/>
      <c r="G86" s="134"/>
      <c r="H86" s="134"/>
      <c r="I86" s="134"/>
      <c r="J86" s="134"/>
      <c r="K86" s="134"/>
      <c r="L86" s="130">
        <f t="shared" si="6"/>
        <v>0</v>
      </c>
      <c r="M86" s="134"/>
      <c r="N86" s="130">
        <f t="shared" si="3"/>
        <v>0</v>
      </c>
      <c r="O86" s="130"/>
      <c r="P86" s="130">
        <f t="shared" si="4"/>
        <v>0</v>
      </c>
      <c r="R86">
        <f t="shared" si="5"/>
        <v>0</v>
      </c>
    </row>
    <row r="87" spans="1:18" hidden="1" x14ac:dyDescent="0.25">
      <c r="A87" s="130"/>
      <c r="B87" s="150" t="s">
        <v>248</v>
      </c>
      <c r="C87" s="134"/>
      <c r="D87" s="130"/>
      <c r="E87" s="139"/>
      <c r="F87" s="130">
        <v>10</v>
      </c>
      <c r="G87" s="134"/>
      <c r="H87" s="134"/>
      <c r="I87" s="134"/>
      <c r="J87" s="134"/>
      <c r="K87" s="134"/>
      <c r="L87" s="130">
        <f t="shared" si="6"/>
        <v>0</v>
      </c>
      <c r="M87" s="134"/>
      <c r="N87" s="130">
        <f t="shared" si="3"/>
        <v>0</v>
      </c>
      <c r="O87" s="130"/>
      <c r="P87" s="130">
        <f t="shared" si="4"/>
        <v>0</v>
      </c>
      <c r="R87">
        <f t="shared" si="5"/>
        <v>0</v>
      </c>
    </row>
    <row r="88" spans="1:18" hidden="1" x14ac:dyDescent="0.25">
      <c r="A88" s="130"/>
      <c r="B88" s="150" t="s">
        <v>249</v>
      </c>
      <c r="C88" s="134"/>
      <c r="D88" s="130"/>
      <c r="E88" s="139"/>
      <c r="F88" s="130"/>
      <c r="G88" s="134"/>
      <c r="H88" s="134"/>
      <c r="I88" s="134"/>
      <c r="J88" s="134"/>
      <c r="K88" s="134"/>
      <c r="L88" s="130">
        <f t="shared" si="6"/>
        <v>0</v>
      </c>
      <c r="M88" s="134"/>
      <c r="N88" s="130">
        <f t="shared" si="3"/>
        <v>0</v>
      </c>
      <c r="O88" s="130"/>
      <c r="P88" s="130">
        <f t="shared" si="4"/>
        <v>0</v>
      </c>
      <c r="R88">
        <f t="shared" si="5"/>
        <v>0</v>
      </c>
    </row>
    <row r="89" spans="1:18" hidden="1" x14ac:dyDescent="0.25">
      <c r="A89" s="130"/>
      <c r="B89" s="150" t="s">
        <v>250</v>
      </c>
      <c r="C89" s="134"/>
      <c r="D89" s="130"/>
      <c r="E89" s="139"/>
      <c r="F89" s="130"/>
      <c r="G89" s="134"/>
      <c r="H89" s="134"/>
      <c r="I89" s="134"/>
      <c r="J89" s="134"/>
      <c r="K89" s="134"/>
      <c r="L89" s="130">
        <f t="shared" si="6"/>
        <v>0</v>
      </c>
      <c r="M89" s="134"/>
      <c r="N89" s="130">
        <f t="shared" si="3"/>
        <v>0</v>
      </c>
      <c r="O89" s="130"/>
      <c r="P89" s="130">
        <f t="shared" si="4"/>
        <v>0</v>
      </c>
      <c r="R89">
        <f t="shared" si="5"/>
        <v>0</v>
      </c>
    </row>
    <row r="90" spans="1:18" ht="15.75" hidden="1" thickBot="1" x14ac:dyDescent="0.3">
      <c r="A90" s="130"/>
      <c r="B90" s="151" t="s">
        <v>242</v>
      </c>
      <c r="C90" s="134"/>
      <c r="D90" s="130"/>
      <c r="E90" s="139"/>
      <c r="F90" s="130"/>
      <c r="G90" s="134"/>
      <c r="H90" s="134"/>
      <c r="I90" s="134"/>
      <c r="J90" s="134"/>
      <c r="K90" s="134"/>
      <c r="L90" s="130">
        <f t="shared" si="6"/>
        <v>0</v>
      </c>
      <c r="M90" s="134"/>
      <c r="N90" s="130">
        <f t="shared" si="3"/>
        <v>0</v>
      </c>
      <c r="O90" s="130"/>
      <c r="P90" s="130">
        <f t="shared" si="4"/>
        <v>0</v>
      </c>
      <c r="R90">
        <f t="shared" si="5"/>
        <v>0</v>
      </c>
    </row>
    <row r="91" spans="1:18" hidden="1" x14ac:dyDescent="0.25">
      <c r="A91" s="130"/>
      <c r="B91" s="130"/>
      <c r="C91" s="134"/>
      <c r="D91" s="130"/>
      <c r="E91" s="139"/>
      <c r="F91" s="130"/>
      <c r="G91" s="134"/>
      <c r="H91" s="134"/>
      <c r="I91" s="134"/>
      <c r="J91" s="134"/>
      <c r="K91" s="134"/>
      <c r="L91" s="134">
        <f>SUM(L74:L90)</f>
        <v>0</v>
      </c>
      <c r="M91" s="134"/>
      <c r="N91" s="134">
        <f>SUM(N74:N90)</f>
        <v>0</v>
      </c>
      <c r="O91" s="130"/>
      <c r="P91" s="134">
        <f>SUM(P74:P90)</f>
        <v>0</v>
      </c>
      <c r="R91" s="11">
        <f>SUM(R74:R90)</f>
        <v>0</v>
      </c>
    </row>
    <row r="92" spans="1:18" x14ac:dyDescent="0.25">
      <c r="A92" s="130"/>
      <c r="B92" s="130"/>
      <c r="C92" s="134"/>
      <c r="D92" s="130"/>
      <c r="E92" s="139"/>
      <c r="F92" s="130"/>
      <c r="G92" s="134"/>
      <c r="H92" s="134"/>
      <c r="I92" s="134"/>
      <c r="J92" s="134"/>
      <c r="K92" s="134"/>
      <c r="L92" s="134"/>
      <c r="M92" s="134"/>
      <c r="N92" s="130"/>
      <c r="O92" s="130"/>
      <c r="P92" s="130"/>
    </row>
    <row r="93" spans="1:18" x14ac:dyDescent="0.25">
      <c r="A93" s="130"/>
      <c r="B93" s="130"/>
      <c r="C93" s="134"/>
      <c r="D93" s="130"/>
      <c r="E93" s="139"/>
      <c r="F93" s="130"/>
      <c r="G93" s="134"/>
      <c r="H93" s="134"/>
      <c r="I93" s="134"/>
      <c r="J93" s="134"/>
      <c r="K93" s="134"/>
      <c r="L93" s="134"/>
      <c r="M93" s="134"/>
      <c r="N93" s="130"/>
      <c r="O93" s="130"/>
      <c r="P93" s="130"/>
    </row>
    <row r="94" spans="1:18" x14ac:dyDescent="0.25">
      <c r="A94" s="130"/>
      <c r="B94" s="130"/>
      <c r="C94" s="134"/>
      <c r="D94" s="130"/>
      <c r="E94" s="139"/>
      <c r="F94" s="130"/>
      <c r="G94" s="134"/>
      <c r="H94" s="134"/>
      <c r="I94" s="134"/>
      <c r="J94" s="134"/>
      <c r="K94" s="134"/>
      <c r="L94" s="134"/>
      <c r="M94" s="134"/>
      <c r="N94" s="130"/>
      <c r="O94" s="130"/>
      <c r="P94" s="130"/>
    </row>
    <row r="95" spans="1:18" x14ac:dyDescent="0.25">
      <c r="A95" s="130"/>
      <c r="B95" s="130"/>
      <c r="C95" s="134"/>
      <c r="D95" s="130"/>
      <c r="E95" s="139"/>
      <c r="F95" s="130"/>
      <c r="G95" s="134"/>
      <c r="H95" s="134"/>
      <c r="I95" s="134"/>
      <c r="J95" s="134"/>
      <c r="K95" s="134"/>
      <c r="L95" s="134"/>
      <c r="M95" s="134"/>
      <c r="N95" s="130"/>
      <c r="O95" s="130"/>
      <c r="P95" s="130"/>
    </row>
  </sheetData>
  <sheetProtection sheet="1" objects="1" scenarios="1" selectLockedCells="1"/>
  <mergeCells count="37">
    <mergeCell ref="A40:L40"/>
    <mergeCell ref="B31:D31"/>
    <mergeCell ref="F31:L37"/>
    <mergeCell ref="B33:D33"/>
    <mergeCell ref="B35:D35"/>
    <mergeCell ref="B37:D37"/>
    <mergeCell ref="B39:D39"/>
    <mergeCell ref="F39:J39"/>
    <mergeCell ref="B29:D29"/>
    <mergeCell ref="F29:L29"/>
    <mergeCell ref="B17:D17"/>
    <mergeCell ref="F17:L17"/>
    <mergeCell ref="B19:D19"/>
    <mergeCell ref="F19:L19"/>
    <mergeCell ref="B21:D21"/>
    <mergeCell ref="F21:L21"/>
    <mergeCell ref="B23:D23"/>
    <mergeCell ref="F23:L23"/>
    <mergeCell ref="D25:H25"/>
    <mergeCell ref="F27:H27"/>
    <mergeCell ref="J27:L27"/>
    <mergeCell ref="A1:M1"/>
    <mergeCell ref="A2:A39"/>
    <mergeCell ref="D2:H2"/>
    <mergeCell ref="M2:M40"/>
    <mergeCell ref="D4:F4"/>
    <mergeCell ref="H4:J4"/>
    <mergeCell ref="B7:D7"/>
    <mergeCell ref="F7:L7"/>
    <mergeCell ref="F9:H9"/>
    <mergeCell ref="J9:L9"/>
    <mergeCell ref="F11:H11"/>
    <mergeCell ref="J11:L11"/>
    <mergeCell ref="F13:H13"/>
    <mergeCell ref="J13:L13"/>
    <mergeCell ref="B15:D15"/>
    <mergeCell ref="F15:L15"/>
  </mergeCells>
  <dataValidations count="9">
    <dataValidation type="list" allowBlank="1" showInputMessage="1" showErrorMessage="1" sqref="J13:L13">
      <formula1>Morale</formula1>
    </dataValidation>
    <dataValidation type="list" allowBlank="1" showInputMessage="1" showErrorMessage="1" sqref="L39">
      <formula1>CHA</formula1>
    </dataValidation>
    <dataValidation type="list" allowBlank="1" showInputMessage="1" showErrorMessage="1" sqref="B17:D17 B19:D19 B21:D21 B23:D23">
      <formula1>Tactics</formula1>
    </dataValidation>
    <dataValidation type="list" allowBlank="1" showInputMessage="1" showErrorMessage="1" sqref="L4">
      <formula1>Active</formula1>
    </dataValidation>
    <dataValidation type="list" allowBlank="1" showInputMessage="1" showErrorMessage="1" sqref="B31:D31 B33:D33 B35:D35 B37:D37 B39:D39">
      <formula1>Abilities</formula1>
    </dataValidation>
    <dataValidation type="list" allowBlank="1" showInputMessage="1" showErrorMessage="1" sqref="F17:L17 F21:L21 F19:L19 F23:L23">
      <formula1>Resources</formula1>
    </dataValidation>
    <dataValidation type="list" allowBlank="1" showInputMessage="1" showErrorMessage="1" sqref="D4">
      <formula1>Size</formula1>
    </dataValidation>
    <dataValidation type="list" allowBlank="1" showInputMessage="1" showErrorMessage="1" sqref="L25">
      <formula1>CR</formula1>
    </dataValidation>
    <dataValidation type="list" allowBlank="1" showInputMessage="1" showErrorMessage="1" sqref="L26 J27:L27">
      <formula1>HD</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R95"/>
  <sheetViews>
    <sheetView workbookViewId="0">
      <selection activeCell="B23" sqref="B23:D23"/>
    </sheetView>
  </sheetViews>
  <sheetFormatPr defaultRowHeight="15" x14ac:dyDescent="0.25"/>
  <cols>
    <col min="1" max="1" width="0.85546875" customWidth="1"/>
    <col min="2" max="2" width="18.7109375" customWidth="1"/>
    <col min="3" max="3" width="0.85546875" style="11" customWidth="1"/>
    <col min="4" max="4" width="10.7109375" customWidth="1"/>
    <col min="5" max="5" width="0.85546875" style="5" customWidth="1"/>
    <col min="6" max="6" width="8.28515625" customWidth="1"/>
    <col min="7" max="7" width="0.85546875" style="11" customWidth="1"/>
    <col min="8" max="8" width="10.7109375" style="11" customWidth="1"/>
    <col min="9" max="9" width="0.85546875" style="11" customWidth="1"/>
    <col min="10" max="10" width="4.7109375" style="11" customWidth="1"/>
    <col min="11" max="11" width="0.85546875" style="11" customWidth="1"/>
    <col min="12" max="12" width="5.7109375" style="11" customWidth="1"/>
    <col min="13" max="13" width="0.85546875" style="11" customWidth="1"/>
    <col min="15" max="15" width="0.85546875" customWidth="1"/>
    <col min="17" max="17" width="0.85546875" customWidth="1"/>
  </cols>
  <sheetData>
    <row r="1" spans="1:16" ht="5.0999999999999996" customHeight="1" thickBot="1" x14ac:dyDescent="0.3">
      <c r="A1" s="500"/>
      <c r="B1" s="501"/>
      <c r="C1" s="501"/>
      <c r="D1" s="501"/>
      <c r="E1" s="501"/>
      <c r="F1" s="501"/>
      <c r="G1" s="501"/>
      <c r="H1" s="501"/>
      <c r="I1" s="501"/>
      <c r="J1" s="501"/>
      <c r="K1" s="501"/>
      <c r="L1" s="501"/>
      <c r="M1" s="502"/>
      <c r="N1" s="130"/>
      <c r="O1" s="130"/>
      <c r="P1" s="130"/>
    </row>
    <row r="2" spans="1:16" ht="15.75" thickBot="1" x14ac:dyDescent="0.3">
      <c r="A2" s="480"/>
      <c r="B2" s="131" t="s">
        <v>83</v>
      </c>
      <c r="C2" s="132"/>
      <c r="D2" s="455"/>
      <c r="E2" s="372"/>
      <c r="F2" s="372"/>
      <c r="G2" s="372"/>
      <c r="H2" s="373"/>
      <c r="I2" s="111"/>
      <c r="J2" s="131" t="s">
        <v>187</v>
      </c>
      <c r="K2" s="97"/>
      <c r="L2" s="152">
        <f>IF(D4="Fine",(L25-8),(IF(D4="Dimunitive",(L25-6),(IF(D4="Tiny",(L25-4),(IF(D4="Small",(L25-2),(IF(D4="Medium",(L25),(IF(D4="Large",(L25+2),(IF(D4="Huge",(L25+4),(IF(D4="Gargantuan",(L25+6),(IF(D4="Colossal",(L25+8),0)))))))))))))))))</f>
        <v>0</v>
      </c>
      <c r="M2" s="497"/>
      <c r="N2" s="130"/>
      <c r="O2" s="130"/>
      <c r="P2" s="130"/>
    </row>
    <row r="3" spans="1:16" s="1" customFormat="1" ht="3" customHeight="1" thickBot="1" x14ac:dyDescent="0.3">
      <c r="A3" s="495"/>
      <c r="B3" s="132"/>
      <c r="C3" s="132"/>
      <c r="D3" s="133"/>
      <c r="E3" s="134"/>
      <c r="F3" s="132"/>
      <c r="G3" s="132"/>
      <c r="H3" s="132"/>
      <c r="I3" s="132"/>
      <c r="J3" s="132"/>
      <c r="K3" s="132"/>
      <c r="L3" s="134"/>
      <c r="M3" s="498"/>
      <c r="N3" s="135"/>
      <c r="O3" s="135"/>
      <c r="P3" s="135"/>
    </row>
    <row r="4" spans="1:16" ht="15.75" thickBot="1" x14ac:dyDescent="0.3">
      <c r="A4" s="495"/>
      <c r="B4" s="131" t="s">
        <v>43</v>
      </c>
      <c r="C4" s="132"/>
      <c r="D4" s="455"/>
      <c r="E4" s="372"/>
      <c r="F4" s="372"/>
      <c r="G4" s="136"/>
      <c r="H4" s="496" t="s">
        <v>255</v>
      </c>
      <c r="I4" s="495"/>
      <c r="J4" s="495"/>
      <c r="K4" s="134"/>
      <c r="L4" s="129"/>
      <c r="M4" s="498"/>
      <c r="N4" s="130"/>
      <c r="O4" s="130"/>
      <c r="P4" s="130"/>
    </row>
    <row r="5" spans="1:16" s="1" customFormat="1" ht="3" customHeight="1" x14ac:dyDescent="0.25">
      <c r="A5" s="495"/>
      <c r="B5" s="132"/>
      <c r="C5" s="132"/>
      <c r="D5" s="137"/>
      <c r="E5" s="137"/>
      <c r="F5" s="134"/>
      <c r="G5" s="134"/>
      <c r="H5" s="134"/>
      <c r="I5" s="134"/>
      <c r="J5" s="134"/>
      <c r="K5" s="134"/>
      <c r="L5" s="134"/>
      <c r="M5" s="498"/>
      <c r="N5" s="135"/>
      <c r="O5" s="135"/>
      <c r="P5" s="135"/>
    </row>
    <row r="6" spans="1:16" s="1" customFormat="1" ht="3" customHeight="1" x14ac:dyDescent="0.25">
      <c r="A6" s="495"/>
      <c r="B6" s="132"/>
      <c r="C6" s="132"/>
      <c r="D6" s="137"/>
      <c r="E6" s="137"/>
      <c r="F6" s="134"/>
      <c r="G6" s="134"/>
      <c r="H6" s="134"/>
      <c r="I6" s="134"/>
      <c r="J6" s="134"/>
      <c r="K6" s="134"/>
      <c r="L6" s="134"/>
      <c r="M6" s="498"/>
      <c r="N6" s="135"/>
      <c r="O6" s="135"/>
      <c r="P6" s="135"/>
    </row>
    <row r="7" spans="1:16" x14ac:dyDescent="0.25">
      <c r="A7" s="495"/>
      <c r="B7" s="408" t="s">
        <v>182</v>
      </c>
      <c r="C7" s="480"/>
      <c r="D7" s="480"/>
      <c r="E7" s="138"/>
      <c r="F7" s="408" t="s">
        <v>183</v>
      </c>
      <c r="G7" s="480"/>
      <c r="H7" s="480"/>
      <c r="I7" s="480"/>
      <c r="J7" s="480"/>
      <c r="K7" s="480"/>
      <c r="L7" s="480"/>
      <c r="M7" s="498"/>
      <c r="N7" s="130"/>
      <c r="O7" s="130"/>
      <c r="P7" s="130"/>
    </row>
    <row r="8" spans="1:16" ht="3" customHeight="1" thickBot="1" x14ac:dyDescent="0.3">
      <c r="A8" s="495"/>
      <c r="B8" s="139"/>
      <c r="C8" s="134"/>
      <c r="D8" s="139"/>
      <c r="E8" s="139"/>
      <c r="F8" s="139"/>
      <c r="G8" s="134"/>
      <c r="H8" s="134"/>
      <c r="I8" s="134"/>
      <c r="J8" s="134"/>
      <c r="K8" s="134"/>
      <c r="L8" s="134"/>
      <c r="M8" s="498"/>
      <c r="N8" s="130"/>
      <c r="O8" s="130"/>
      <c r="P8" s="130"/>
    </row>
    <row r="9" spans="1:16" ht="15.75" thickBot="1" x14ac:dyDescent="0.3">
      <c r="A9" s="495"/>
      <c r="B9" s="112" t="s">
        <v>185</v>
      </c>
      <c r="C9" s="140"/>
      <c r="D9" s="60">
        <f>ROUNDDOWN((L2*((J27+1)/2)),0)</f>
        <v>0</v>
      </c>
      <c r="E9" s="138"/>
      <c r="F9" s="479" t="s">
        <v>184</v>
      </c>
      <c r="G9" s="480"/>
      <c r="H9" s="480"/>
      <c r="I9" s="138"/>
      <c r="J9" s="391">
        <f>ROUNDDOWN(D27/15,0)</f>
        <v>0</v>
      </c>
      <c r="K9" s="392"/>
      <c r="L9" s="393"/>
      <c r="M9" s="498"/>
      <c r="N9" s="130"/>
      <c r="O9" s="130"/>
      <c r="P9" s="130"/>
    </row>
    <row r="10" spans="1:16" ht="3" customHeight="1" thickBot="1" x14ac:dyDescent="0.3">
      <c r="A10" s="495"/>
      <c r="B10" s="111"/>
      <c r="C10" s="134"/>
      <c r="D10" s="139"/>
      <c r="E10" s="139"/>
      <c r="F10" s="139"/>
      <c r="G10" s="134"/>
      <c r="H10" s="111"/>
      <c r="I10" s="134"/>
      <c r="J10" s="137"/>
      <c r="K10" s="137"/>
      <c r="L10" s="137"/>
      <c r="M10" s="498"/>
      <c r="N10" s="130"/>
      <c r="O10" s="130"/>
      <c r="P10" s="130"/>
    </row>
    <row r="11" spans="1:16" ht="15.75" thickBot="1" x14ac:dyDescent="0.3">
      <c r="A11" s="495"/>
      <c r="B11" s="112" t="s">
        <v>193</v>
      </c>
      <c r="C11" s="140"/>
      <c r="D11" s="60">
        <f>L2+L57+L72+L91</f>
        <v>0</v>
      </c>
      <c r="E11" s="138"/>
      <c r="F11" s="479" t="s">
        <v>63</v>
      </c>
      <c r="G11" s="480"/>
      <c r="H11" s="480"/>
      <c r="I11" s="138"/>
      <c r="J11" s="391">
        <f>IF(L2=0,0,IF(((L2/2)+R57+R72+R91)&lt;1,1,ROUNDUP(((L2/2)+R57+R72+R91),0)))</f>
        <v>0</v>
      </c>
      <c r="K11" s="392"/>
      <c r="L11" s="393"/>
      <c r="M11" s="498"/>
      <c r="N11" s="130"/>
      <c r="O11" s="130"/>
      <c r="P11" s="130"/>
    </row>
    <row r="12" spans="1:16" ht="3" customHeight="1" thickBot="1" x14ac:dyDescent="0.3">
      <c r="A12" s="495"/>
      <c r="B12" s="111"/>
      <c r="C12" s="134"/>
      <c r="D12" s="139"/>
      <c r="E12" s="139"/>
      <c r="F12" s="139"/>
      <c r="G12" s="134"/>
      <c r="H12" s="111"/>
      <c r="I12" s="134"/>
      <c r="J12" s="137"/>
      <c r="K12" s="137"/>
      <c r="L12" s="137"/>
      <c r="M12" s="498"/>
      <c r="N12" s="130"/>
      <c r="O12" s="130"/>
      <c r="P12" s="130"/>
    </row>
    <row r="13" spans="1:16" ht="15.75" thickBot="1" x14ac:dyDescent="0.3">
      <c r="A13" s="495"/>
      <c r="B13" s="112" t="s">
        <v>194</v>
      </c>
      <c r="C13" s="140"/>
      <c r="D13" s="60">
        <f>10+L2+N57+N72+N91</f>
        <v>10</v>
      </c>
      <c r="E13" s="138"/>
      <c r="F13" s="479" t="s">
        <v>269</v>
      </c>
      <c r="G13" s="480"/>
      <c r="H13" s="480"/>
      <c r="I13" s="138"/>
      <c r="J13" s="505"/>
      <c r="K13" s="506"/>
      <c r="L13" s="507"/>
      <c r="M13" s="498"/>
      <c r="N13" s="130"/>
      <c r="O13" s="130"/>
      <c r="P13" s="130"/>
    </row>
    <row r="14" spans="1:16" ht="3" customHeight="1" x14ac:dyDescent="0.25">
      <c r="A14" s="495"/>
      <c r="B14" s="139"/>
      <c r="C14" s="134"/>
      <c r="D14" s="139"/>
      <c r="E14" s="139"/>
      <c r="F14" s="139"/>
      <c r="G14" s="134"/>
      <c r="H14" s="134"/>
      <c r="I14" s="134"/>
      <c r="J14" s="134"/>
      <c r="K14" s="134"/>
      <c r="L14" s="134"/>
      <c r="M14" s="498"/>
      <c r="N14" s="130"/>
      <c r="O14" s="130"/>
      <c r="P14" s="130"/>
    </row>
    <row r="15" spans="1:16" x14ac:dyDescent="0.25">
      <c r="A15" s="495"/>
      <c r="B15" s="408" t="s">
        <v>186</v>
      </c>
      <c r="C15" s="480"/>
      <c r="D15" s="480"/>
      <c r="E15" s="138"/>
      <c r="F15" s="408" t="s">
        <v>56</v>
      </c>
      <c r="G15" s="480"/>
      <c r="H15" s="480"/>
      <c r="I15" s="480"/>
      <c r="J15" s="480"/>
      <c r="K15" s="480"/>
      <c r="L15" s="480"/>
      <c r="M15" s="498"/>
      <c r="N15" s="130"/>
      <c r="O15" s="130"/>
      <c r="P15" s="130"/>
    </row>
    <row r="16" spans="1:16" s="5" customFormat="1" ht="3" customHeight="1" thickBot="1" x14ac:dyDescent="0.3">
      <c r="A16" s="495"/>
      <c r="B16" s="141"/>
      <c r="C16" s="141"/>
      <c r="D16" s="141"/>
      <c r="E16" s="141"/>
      <c r="F16" s="141"/>
      <c r="G16" s="141"/>
      <c r="H16" s="141"/>
      <c r="I16" s="141"/>
      <c r="J16" s="141"/>
      <c r="K16" s="141"/>
      <c r="L16" s="141"/>
      <c r="M16" s="498"/>
      <c r="N16" s="139"/>
      <c r="O16" s="139"/>
      <c r="P16" s="139"/>
    </row>
    <row r="17" spans="1:16" s="5" customFormat="1" ht="15.75" thickBot="1" x14ac:dyDescent="0.3">
      <c r="A17" s="495"/>
      <c r="B17" s="481"/>
      <c r="C17" s="482"/>
      <c r="D17" s="483"/>
      <c r="E17" s="141"/>
      <c r="F17" s="481"/>
      <c r="G17" s="482"/>
      <c r="H17" s="482"/>
      <c r="I17" s="482"/>
      <c r="J17" s="482"/>
      <c r="K17" s="482"/>
      <c r="L17" s="483"/>
      <c r="M17" s="498"/>
      <c r="N17" s="139"/>
      <c r="O17" s="139"/>
      <c r="P17" s="139"/>
    </row>
    <row r="18" spans="1:16" s="5" customFormat="1" ht="3" customHeight="1" thickBot="1" x14ac:dyDescent="0.3">
      <c r="A18" s="495"/>
      <c r="B18" s="141"/>
      <c r="C18" s="141"/>
      <c r="D18" s="141"/>
      <c r="E18" s="141"/>
      <c r="F18" s="141"/>
      <c r="G18" s="141"/>
      <c r="H18" s="141"/>
      <c r="I18" s="141"/>
      <c r="J18" s="141"/>
      <c r="K18" s="141"/>
      <c r="L18" s="141"/>
      <c r="M18" s="498"/>
      <c r="N18" s="139"/>
      <c r="O18" s="139"/>
      <c r="P18" s="139"/>
    </row>
    <row r="19" spans="1:16" s="5" customFormat="1" ht="15.75" thickBot="1" x14ac:dyDescent="0.3">
      <c r="A19" s="495"/>
      <c r="B19" s="476"/>
      <c r="C19" s="477"/>
      <c r="D19" s="478"/>
      <c r="E19" s="141"/>
      <c r="F19" s="481"/>
      <c r="G19" s="482"/>
      <c r="H19" s="482"/>
      <c r="I19" s="482"/>
      <c r="J19" s="482"/>
      <c r="K19" s="482"/>
      <c r="L19" s="483"/>
      <c r="M19" s="498"/>
      <c r="N19" s="139"/>
      <c r="O19" s="139"/>
      <c r="P19" s="139"/>
    </row>
    <row r="20" spans="1:16" s="5" customFormat="1" ht="3" customHeight="1" thickBot="1" x14ac:dyDescent="0.3">
      <c r="A20" s="495"/>
      <c r="B20" s="141"/>
      <c r="C20" s="141"/>
      <c r="D20" s="141"/>
      <c r="E20" s="141"/>
      <c r="F20" s="141"/>
      <c r="G20" s="141"/>
      <c r="H20" s="141"/>
      <c r="I20" s="141"/>
      <c r="J20" s="141"/>
      <c r="K20" s="141"/>
      <c r="L20" s="141"/>
      <c r="M20" s="498"/>
      <c r="N20" s="139"/>
      <c r="O20" s="139"/>
      <c r="P20" s="139"/>
    </row>
    <row r="21" spans="1:16" s="5" customFormat="1" ht="15.75" thickBot="1" x14ac:dyDescent="0.3">
      <c r="A21" s="495"/>
      <c r="B21" s="476"/>
      <c r="C21" s="477"/>
      <c r="D21" s="478"/>
      <c r="E21" s="141"/>
      <c r="F21" s="481"/>
      <c r="G21" s="482"/>
      <c r="H21" s="482"/>
      <c r="I21" s="482"/>
      <c r="J21" s="482"/>
      <c r="K21" s="482"/>
      <c r="L21" s="483"/>
      <c r="M21" s="498"/>
      <c r="N21" s="139"/>
      <c r="O21" s="139"/>
      <c r="P21" s="139"/>
    </row>
    <row r="22" spans="1:16" s="5" customFormat="1" ht="3" customHeight="1" thickBot="1" x14ac:dyDescent="0.3">
      <c r="A22" s="495"/>
      <c r="B22" s="141"/>
      <c r="C22" s="141"/>
      <c r="D22" s="141"/>
      <c r="E22" s="141"/>
      <c r="F22" s="141"/>
      <c r="G22" s="141"/>
      <c r="H22" s="141"/>
      <c r="I22" s="141"/>
      <c r="J22" s="141"/>
      <c r="K22" s="141"/>
      <c r="L22" s="141"/>
      <c r="M22" s="498"/>
      <c r="N22" s="139"/>
      <c r="O22" s="139"/>
      <c r="P22" s="139"/>
    </row>
    <row r="23" spans="1:16" s="5" customFormat="1" ht="15.75" thickBot="1" x14ac:dyDescent="0.3">
      <c r="A23" s="495"/>
      <c r="B23" s="476"/>
      <c r="C23" s="477"/>
      <c r="D23" s="478"/>
      <c r="E23" s="141"/>
      <c r="F23" s="481"/>
      <c r="G23" s="482"/>
      <c r="H23" s="482"/>
      <c r="I23" s="482"/>
      <c r="J23" s="482"/>
      <c r="K23" s="482"/>
      <c r="L23" s="483"/>
      <c r="M23" s="498"/>
      <c r="N23" s="139"/>
      <c r="O23" s="139"/>
      <c r="P23" s="139"/>
    </row>
    <row r="24" spans="1:16" ht="3" customHeight="1" thickBot="1" x14ac:dyDescent="0.3">
      <c r="A24" s="495"/>
      <c r="B24" s="142"/>
      <c r="C24" s="143"/>
      <c r="D24" s="142"/>
      <c r="E24" s="142"/>
      <c r="F24" s="142"/>
      <c r="G24" s="143"/>
      <c r="H24" s="143"/>
      <c r="I24" s="134"/>
      <c r="J24" s="143"/>
      <c r="K24" s="134"/>
      <c r="L24" s="143"/>
      <c r="M24" s="498"/>
      <c r="N24" s="130"/>
      <c r="O24" s="130"/>
      <c r="P24" s="130"/>
    </row>
    <row r="25" spans="1:16" ht="15.75" thickBot="1" x14ac:dyDescent="0.3">
      <c r="A25" s="495"/>
      <c r="B25" s="131" t="s">
        <v>191</v>
      </c>
      <c r="C25" s="132"/>
      <c r="D25" s="455"/>
      <c r="E25" s="372"/>
      <c r="F25" s="372"/>
      <c r="G25" s="372"/>
      <c r="H25" s="373"/>
      <c r="I25" s="144"/>
      <c r="J25" s="131" t="s">
        <v>187</v>
      </c>
      <c r="K25" s="144"/>
      <c r="L25" s="102"/>
      <c r="M25" s="498"/>
      <c r="N25" s="130"/>
      <c r="O25" s="130"/>
      <c r="P25" s="130"/>
    </row>
    <row r="26" spans="1:16" ht="3" customHeight="1" thickBot="1" x14ac:dyDescent="0.3">
      <c r="A26" s="495"/>
      <c r="B26" s="139"/>
      <c r="C26" s="134"/>
      <c r="D26" s="139"/>
      <c r="E26" s="138"/>
      <c r="F26" s="139"/>
      <c r="G26" s="134"/>
      <c r="H26" s="134"/>
      <c r="I26" s="134"/>
      <c r="J26" s="145" t="s">
        <v>192</v>
      </c>
      <c r="K26" s="144"/>
      <c r="L26" s="146"/>
      <c r="M26" s="498"/>
      <c r="N26" s="130"/>
      <c r="O26" s="130"/>
      <c r="P26" s="130"/>
    </row>
    <row r="27" spans="1:16" ht="15.75" thickBot="1" x14ac:dyDescent="0.3">
      <c r="A27" s="495"/>
      <c r="B27" s="112" t="s">
        <v>184</v>
      </c>
      <c r="C27" s="140"/>
      <c r="D27" s="57"/>
      <c r="E27" s="138"/>
      <c r="F27" s="479" t="s">
        <v>205</v>
      </c>
      <c r="G27" s="480"/>
      <c r="H27" s="480"/>
      <c r="I27" s="138"/>
      <c r="J27" s="371"/>
      <c r="K27" s="372"/>
      <c r="L27" s="373"/>
      <c r="M27" s="498"/>
      <c r="N27" s="130"/>
      <c r="O27" s="130"/>
      <c r="P27" s="130"/>
    </row>
    <row r="28" spans="1:16" s="5" customFormat="1" ht="3" customHeight="1" x14ac:dyDescent="0.25">
      <c r="A28" s="495"/>
      <c r="B28" s="141"/>
      <c r="C28" s="141"/>
      <c r="D28" s="141">
        <v>50</v>
      </c>
      <c r="E28" s="141"/>
      <c r="F28" s="141"/>
      <c r="G28" s="141"/>
      <c r="H28" s="141"/>
      <c r="I28" s="141"/>
      <c r="J28" s="141"/>
      <c r="K28" s="141"/>
      <c r="L28" s="141"/>
      <c r="M28" s="498"/>
      <c r="N28" s="139"/>
      <c r="O28" s="139"/>
      <c r="P28" s="139"/>
    </row>
    <row r="29" spans="1:16" x14ac:dyDescent="0.25">
      <c r="A29" s="495"/>
      <c r="B29" s="408" t="s">
        <v>189</v>
      </c>
      <c r="C29" s="480"/>
      <c r="D29" s="480"/>
      <c r="E29" s="138"/>
      <c r="F29" s="408" t="s">
        <v>190</v>
      </c>
      <c r="G29" s="480"/>
      <c r="H29" s="480"/>
      <c r="I29" s="480"/>
      <c r="J29" s="480"/>
      <c r="K29" s="480"/>
      <c r="L29" s="480"/>
      <c r="M29" s="498"/>
      <c r="N29" s="130"/>
      <c r="O29" s="130"/>
      <c r="P29" s="130"/>
    </row>
    <row r="30" spans="1:16" s="5" customFormat="1" ht="3" customHeight="1" thickBot="1" x14ac:dyDescent="0.3">
      <c r="A30" s="495"/>
      <c r="B30" s="141"/>
      <c r="C30" s="141"/>
      <c r="D30" s="141"/>
      <c r="E30" s="141"/>
      <c r="F30" s="141"/>
      <c r="G30" s="141"/>
      <c r="H30" s="141"/>
      <c r="I30" s="141"/>
      <c r="J30" s="141"/>
      <c r="K30" s="141"/>
      <c r="L30" s="141"/>
      <c r="M30" s="498"/>
      <c r="N30" s="139"/>
      <c r="O30" s="139"/>
      <c r="P30" s="139"/>
    </row>
    <row r="31" spans="1:16" s="5" customFormat="1" ht="15.75" thickBot="1" x14ac:dyDescent="0.3">
      <c r="A31" s="495"/>
      <c r="B31" s="481"/>
      <c r="C31" s="482"/>
      <c r="D31" s="483"/>
      <c r="E31" s="141"/>
      <c r="F31" s="484"/>
      <c r="G31" s="485"/>
      <c r="H31" s="485"/>
      <c r="I31" s="485"/>
      <c r="J31" s="485"/>
      <c r="K31" s="485"/>
      <c r="L31" s="486"/>
      <c r="M31" s="498"/>
      <c r="N31" s="139"/>
      <c r="O31" s="139"/>
      <c r="P31" s="139"/>
    </row>
    <row r="32" spans="1:16" s="5" customFormat="1" ht="3" customHeight="1" thickBot="1" x14ac:dyDescent="0.3">
      <c r="A32" s="495"/>
      <c r="B32" s="141"/>
      <c r="C32" s="141"/>
      <c r="D32" s="141"/>
      <c r="E32" s="141"/>
      <c r="F32" s="487"/>
      <c r="G32" s="488"/>
      <c r="H32" s="488"/>
      <c r="I32" s="488"/>
      <c r="J32" s="488"/>
      <c r="K32" s="488"/>
      <c r="L32" s="489"/>
      <c r="M32" s="498"/>
      <c r="N32" s="139"/>
      <c r="O32" s="139"/>
      <c r="P32" s="139"/>
    </row>
    <row r="33" spans="1:18" s="5" customFormat="1" ht="15.75" thickBot="1" x14ac:dyDescent="0.3">
      <c r="A33" s="495"/>
      <c r="B33" s="481"/>
      <c r="C33" s="482"/>
      <c r="D33" s="483"/>
      <c r="E33" s="141"/>
      <c r="F33" s="487"/>
      <c r="G33" s="488"/>
      <c r="H33" s="488"/>
      <c r="I33" s="488"/>
      <c r="J33" s="488"/>
      <c r="K33" s="488"/>
      <c r="L33" s="489"/>
      <c r="M33" s="498"/>
      <c r="N33" s="139"/>
      <c r="O33" s="139"/>
      <c r="P33" s="139"/>
    </row>
    <row r="34" spans="1:18" s="5" customFormat="1" ht="3" customHeight="1" thickBot="1" x14ac:dyDescent="0.3">
      <c r="A34" s="495"/>
      <c r="B34" s="141"/>
      <c r="C34" s="141"/>
      <c r="D34" s="141"/>
      <c r="E34" s="141"/>
      <c r="F34" s="487"/>
      <c r="G34" s="488"/>
      <c r="H34" s="488"/>
      <c r="I34" s="488"/>
      <c r="J34" s="488"/>
      <c r="K34" s="488"/>
      <c r="L34" s="489"/>
      <c r="M34" s="498"/>
      <c r="N34" s="139"/>
      <c r="O34" s="139"/>
      <c r="P34" s="139"/>
    </row>
    <row r="35" spans="1:18" s="5" customFormat="1" ht="15.75" thickBot="1" x14ac:dyDescent="0.3">
      <c r="A35" s="495"/>
      <c r="B35" s="481"/>
      <c r="C35" s="482"/>
      <c r="D35" s="483"/>
      <c r="E35" s="141"/>
      <c r="F35" s="487"/>
      <c r="G35" s="488"/>
      <c r="H35" s="488"/>
      <c r="I35" s="488"/>
      <c r="J35" s="488"/>
      <c r="K35" s="488"/>
      <c r="L35" s="489"/>
      <c r="M35" s="498"/>
      <c r="N35" s="139"/>
      <c r="O35" s="139"/>
      <c r="P35" s="139"/>
    </row>
    <row r="36" spans="1:18" s="5" customFormat="1" ht="3" customHeight="1" thickBot="1" x14ac:dyDescent="0.3">
      <c r="A36" s="495"/>
      <c r="B36" s="147"/>
      <c r="C36" s="147"/>
      <c r="D36" s="147"/>
      <c r="E36" s="141"/>
      <c r="F36" s="487"/>
      <c r="G36" s="490"/>
      <c r="H36" s="490"/>
      <c r="I36" s="490"/>
      <c r="J36" s="490"/>
      <c r="K36" s="490"/>
      <c r="L36" s="489"/>
      <c r="M36" s="498"/>
      <c r="N36" s="139"/>
      <c r="O36" s="139"/>
      <c r="P36" s="139"/>
    </row>
    <row r="37" spans="1:18" s="5" customFormat="1" ht="15.75" thickBot="1" x14ac:dyDescent="0.3">
      <c r="A37" s="495"/>
      <c r="B37" s="481"/>
      <c r="C37" s="482"/>
      <c r="D37" s="483"/>
      <c r="E37" s="141"/>
      <c r="F37" s="491"/>
      <c r="G37" s="492"/>
      <c r="H37" s="492"/>
      <c r="I37" s="492"/>
      <c r="J37" s="492"/>
      <c r="K37" s="492"/>
      <c r="L37" s="493"/>
      <c r="M37" s="498"/>
      <c r="N37" s="139"/>
      <c r="O37" s="139"/>
      <c r="P37" s="139"/>
    </row>
    <row r="38" spans="1:18" s="5" customFormat="1" ht="3" customHeight="1" thickBot="1" x14ac:dyDescent="0.3">
      <c r="A38" s="495"/>
      <c r="B38" s="147"/>
      <c r="C38" s="147"/>
      <c r="D38" s="147"/>
      <c r="E38" s="141"/>
      <c r="F38" s="148"/>
      <c r="G38" s="148"/>
      <c r="H38" s="148"/>
      <c r="I38" s="148"/>
      <c r="J38" s="148"/>
      <c r="K38" s="148"/>
      <c r="L38" s="148"/>
      <c r="M38" s="498"/>
      <c r="N38" s="139"/>
      <c r="O38" s="139"/>
      <c r="P38" s="139"/>
    </row>
    <row r="39" spans="1:18" s="5" customFormat="1" ht="15.75" thickBot="1" x14ac:dyDescent="0.3">
      <c r="A39" s="495"/>
      <c r="B39" s="481"/>
      <c r="C39" s="482"/>
      <c r="D39" s="483"/>
      <c r="E39" s="141"/>
      <c r="F39" s="494" t="s">
        <v>256</v>
      </c>
      <c r="G39" s="495"/>
      <c r="H39" s="495"/>
      <c r="I39" s="495"/>
      <c r="J39" s="495"/>
      <c r="K39" s="148"/>
      <c r="L39" s="104"/>
      <c r="M39" s="498"/>
      <c r="N39" s="139"/>
      <c r="O39" s="139"/>
      <c r="P39" s="139"/>
    </row>
    <row r="40" spans="1:18" ht="3" customHeight="1" thickBot="1" x14ac:dyDescent="0.3">
      <c r="A40" s="503"/>
      <c r="B40" s="504"/>
      <c r="C40" s="504"/>
      <c r="D40" s="504"/>
      <c r="E40" s="504"/>
      <c r="F40" s="504"/>
      <c r="G40" s="504"/>
      <c r="H40" s="504"/>
      <c r="I40" s="504"/>
      <c r="J40" s="504"/>
      <c r="K40" s="504"/>
      <c r="L40" s="504"/>
      <c r="M40" s="499"/>
      <c r="N40" s="130"/>
      <c r="O40" s="130"/>
      <c r="P40" s="130"/>
    </row>
    <row r="41" spans="1:18" ht="3" hidden="1" customHeight="1" x14ac:dyDescent="0.25">
      <c r="A41" s="139"/>
      <c r="B41" s="139"/>
      <c r="C41" s="134"/>
      <c r="D41" s="139"/>
      <c r="E41" s="139"/>
      <c r="F41" s="139"/>
      <c r="G41" s="134"/>
      <c r="H41" s="134"/>
      <c r="I41" s="134"/>
      <c r="J41" s="134"/>
      <c r="K41" s="134"/>
      <c r="L41" s="134"/>
      <c r="M41" s="134"/>
      <c r="N41" s="130"/>
      <c r="O41" s="130"/>
      <c r="P41" s="130"/>
    </row>
    <row r="42" spans="1:18" ht="3" hidden="1" customHeight="1" x14ac:dyDescent="0.25">
      <c r="A42" s="139"/>
      <c r="B42" s="139"/>
      <c r="C42" s="134"/>
      <c r="D42" s="139"/>
      <c r="E42" s="139"/>
      <c r="F42" s="139"/>
      <c r="G42" s="134"/>
      <c r="H42" s="134"/>
      <c r="I42" s="134"/>
      <c r="J42" s="134"/>
      <c r="K42" s="134"/>
      <c r="L42" s="134"/>
      <c r="M42" s="134"/>
      <c r="N42" s="130"/>
      <c r="O42" s="130"/>
      <c r="P42" s="130"/>
    </row>
    <row r="43" spans="1:18" hidden="1" x14ac:dyDescent="0.25">
      <c r="A43" s="130"/>
      <c r="B43" s="130"/>
      <c r="C43" s="134"/>
      <c r="D43" s="130" t="s">
        <v>260</v>
      </c>
      <c r="E43" s="139"/>
      <c r="F43" s="130" t="s">
        <v>95</v>
      </c>
      <c r="G43" s="134"/>
      <c r="H43" s="134" t="s">
        <v>188</v>
      </c>
      <c r="I43" s="134"/>
      <c r="J43" s="134" t="s">
        <v>261</v>
      </c>
      <c r="K43" s="134"/>
      <c r="L43" s="130" t="s">
        <v>260</v>
      </c>
      <c r="M43" s="139"/>
      <c r="N43" s="130" t="s">
        <v>95</v>
      </c>
      <c r="O43" s="134"/>
      <c r="P43" s="134" t="s">
        <v>188</v>
      </c>
      <c r="Q43" s="11"/>
      <c r="R43" s="11" t="s">
        <v>261</v>
      </c>
    </row>
    <row r="44" spans="1:18" hidden="1" x14ac:dyDescent="0.25">
      <c r="A44" s="130"/>
      <c r="B44" s="149" t="s">
        <v>186</v>
      </c>
      <c r="C44" s="130"/>
      <c r="D44" s="130"/>
      <c r="E44" s="139"/>
      <c r="F44" s="130"/>
      <c r="G44" s="134"/>
      <c r="H44" s="134"/>
      <c r="I44" s="134"/>
      <c r="J44" s="134"/>
      <c r="K44" s="134"/>
      <c r="L44" s="130"/>
      <c r="M44" s="139"/>
      <c r="N44" s="130"/>
      <c r="O44" s="134"/>
      <c r="P44" s="134"/>
      <c r="Q44" s="11"/>
      <c r="R44" s="11"/>
    </row>
    <row r="45" spans="1:18" hidden="1" x14ac:dyDescent="0.25">
      <c r="A45" s="130"/>
      <c r="B45" s="150" t="s">
        <v>216</v>
      </c>
      <c r="C45" s="130"/>
      <c r="D45" s="130">
        <v>-2</v>
      </c>
      <c r="E45" s="139"/>
      <c r="F45" s="130"/>
      <c r="G45" s="134"/>
      <c r="H45" s="134">
        <v>2</v>
      </c>
      <c r="I45" s="134"/>
      <c r="J45" s="134"/>
      <c r="K45" s="134"/>
      <c r="L45" s="130">
        <f>IF($B$17=$B45,D45,0)</f>
        <v>0</v>
      </c>
      <c r="M45" s="139"/>
      <c r="N45" s="130">
        <f>IF($B$17=$B45,F45,0)</f>
        <v>0</v>
      </c>
      <c r="O45" s="134"/>
      <c r="P45" s="130">
        <f>IF($B$17=$B45,H45,0)</f>
        <v>0</v>
      </c>
      <c r="Q45" s="11"/>
      <c r="R45">
        <f>IF($B$17=$B45,J45,0)</f>
        <v>0</v>
      </c>
    </row>
    <row r="46" spans="1:18" hidden="1" x14ac:dyDescent="0.25">
      <c r="A46" s="130"/>
      <c r="B46" s="150" t="s">
        <v>217</v>
      </c>
      <c r="C46" s="130"/>
      <c r="D46" s="130"/>
      <c r="E46" s="139"/>
      <c r="F46" s="130"/>
      <c r="G46" s="134"/>
      <c r="H46" s="134"/>
      <c r="I46" s="134"/>
      <c r="J46" s="134"/>
      <c r="K46" s="134"/>
      <c r="L46" s="130">
        <f t="shared" ref="L46:L56" si="0">IF($B$17=B46,D46,0)</f>
        <v>0</v>
      </c>
      <c r="M46" s="139"/>
      <c r="N46" s="130">
        <f t="shared" ref="N46:R56" si="1">IF($B$17=$B46,F46,0)</f>
        <v>0</v>
      </c>
      <c r="O46" s="134"/>
      <c r="P46" s="130">
        <f t="shared" si="1"/>
        <v>0</v>
      </c>
      <c r="Q46" s="11"/>
      <c r="R46">
        <f t="shared" si="1"/>
        <v>0</v>
      </c>
    </row>
    <row r="47" spans="1:18" hidden="1" x14ac:dyDescent="0.25">
      <c r="A47" s="130"/>
      <c r="B47" s="150" t="s">
        <v>218</v>
      </c>
      <c r="C47" s="130"/>
      <c r="D47" s="130">
        <v>-2</v>
      </c>
      <c r="E47" s="139"/>
      <c r="F47" s="130">
        <v>2</v>
      </c>
      <c r="G47" s="134"/>
      <c r="H47" s="134"/>
      <c r="I47" s="134"/>
      <c r="J47" s="134"/>
      <c r="K47" s="134"/>
      <c r="L47" s="130">
        <f t="shared" si="0"/>
        <v>0</v>
      </c>
      <c r="M47" s="139"/>
      <c r="N47" s="130">
        <f t="shared" si="1"/>
        <v>0</v>
      </c>
      <c r="O47" s="134"/>
      <c r="P47" s="130">
        <f t="shared" si="1"/>
        <v>0</v>
      </c>
      <c r="Q47" s="11"/>
      <c r="R47">
        <f t="shared" si="1"/>
        <v>0</v>
      </c>
    </row>
    <row r="48" spans="1:18" hidden="1" x14ac:dyDescent="0.25">
      <c r="A48" s="130"/>
      <c r="B48" s="150" t="s">
        <v>219</v>
      </c>
      <c r="C48" s="130"/>
      <c r="D48" s="130"/>
      <c r="E48" s="139"/>
      <c r="F48" s="130"/>
      <c r="G48" s="134"/>
      <c r="H48" s="134"/>
      <c r="I48" s="134"/>
      <c r="J48" s="134"/>
      <c r="K48" s="134"/>
      <c r="L48" s="130">
        <f t="shared" si="0"/>
        <v>0</v>
      </c>
      <c r="M48" s="139"/>
      <c r="N48" s="130">
        <f t="shared" si="1"/>
        <v>0</v>
      </c>
      <c r="O48" s="134"/>
      <c r="P48" s="130">
        <f t="shared" si="1"/>
        <v>0</v>
      </c>
      <c r="Q48" s="11"/>
      <c r="R48">
        <f t="shared" si="1"/>
        <v>0</v>
      </c>
    </row>
    <row r="49" spans="1:18" hidden="1" x14ac:dyDescent="0.25">
      <c r="A49" s="130"/>
      <c r="B49" s="150" t="s">
        <v>220</v>
      </c>
      <c r="C49" s="130"/>
      <c r="D49" s="130">
        <v>2</v>
      </c>
      <c r="E49" s="139"/>
      <c r="F49" s="130">
        <v>-2</v>
      </c>
      <c r="G49" s="134"/>
      <c r="H49" s="134"/>
      <c r="I49" s="134"/>
      <c r="J49" s="134"/>
      <c r="K49" s="134"/>
      <c r="L49" s="130">
        <f t="shared" si="0"/>
        <v>0</v>
      </c>
      <c r="M49" s="139"/>
      <c r="N49" s="130">
        <f t="shared" si="1"/>
        <v>0</v>
      </c>
      <c r="O49" s="134"/>
      <c r="P49" s="130">
        <f t="shared" si="1"/>
        <v>0</v>
      </c>
      <c r="Q49" s="11"/>
      <c r="R49">
        <f t="shared" si="1"/>
        <v>0</v>
      </c>
    </row>
    <row r="50" spans="1:18" hidden="1" x14ac:dyDescent="0.25">
      <c r="A50" s="130"/>
      <c r="B50" s="150" t="s">
        <v>221</v>
      </c>
      <c r="C50" s="130"/>
      <c r="D50" s="130"/>
      <c r="E50" s="139"/>
      <c r="F50" s="130"/>
      <c r="G50" s="134"/>
      <c r="H50" s="134"/>
      <c r="I50" s="134"/>
      <c r="J50" s="134"/>
      <c r="K50" s="134"/>
      <c r="L50" s="130">
        <f t="shared" si="0"/>
        <v>0</v>
      </c>
      <c r="M50" s="139"/>
      <c r="N50" s="130">
        <f t="shared" si="1"/>
        <v>0</v>
      </c>
      <c r="O50" s="134"/>
      <c r="P50" s="130">
        <f t="shared" si="1"/>
        <v>0</v>
      </c>
      <c r="Q50" s="11"/>
      <c r="R50">
        <f t="shared" si="1"/>
        <v>0</v>
      </c>
    </row>
    <row r="51" spans="1:18" hidden="1" x14ac:dyDescent="0.25">
      <c r="A51" s="130"/>
      <c r="B51" s="150" t="s">
        <v>222</v>
      </c>
      <c r="C51" s="130"/>
      <c r="D51" s="130">
        <v>-4</v>
      </c>
      <c r="E51" s="139"/>
      <c r="F51" s="130">
        <v>4</v>
      </c>
      <c r="G51" s="134"/>
      <c r="H51" s="134"/>
      <c r="I51" s="134"/>
      <c r="J51" s="134"/>
      <c r="K51" s="134"/>
      <c r="L51" s="130">
        <f t="shared" si="0"/>
        <v>0</v>
      </c>
      <c r="M51" s="139"/>
      <c r="N51" s="130">
        <f t="shared" si="1"/>
        <v>0</v>
      </c>
      <c r="O51" s="134"/>
      <c r="P51" s="130">
        <f t="shared" si="1"/>
        <v>0</v>
      </c>
      <c r="Q51" s="11"/>
      <c r="R51">
        <f t="shared" si="1"/>
        <v>0</v>
      </c>
    </row>
    <row r="52" spans="1:18" hidden="1" x14ac:dyDescent="0.25">
      <c r="A52" s="130"/>
      <c r="B52" s="150" t="s">
        <v>223</v>
      </c>
      <c r="C52" s="130"/>
      <c r="D52" s="130">
        <v>4</v>
      </c>
      <c r="E52" s="139"/>
      <c r="F52" s="130">
        <v>-4</v>
      </c>
      <c r="G52" s="134"/>
      <c r="H52" s="134"/>
      <c r="I52" s="134"/>
      <c r="J52" s="134"/>
      <c r="K52" s="134"/>
      <c r="L52" s="130">
        <f t="shared" si="0"/>
        <v>0</v>
      </c>
      <c r="M52" s="139"/>
      <c r="N52" s="130">
        <f t="shared" si="1"/>
        <v>0</v>
      </c>
      <c r="O52" s="134"/>
      <c r="P52" s="130">
        <f t="shared" si="1"/>
        <v>0</v>
      </c>
      <c r="Q52" s="11"/>
      <c r="R52">
        <f t="shared" si="1"/>
        <v>0</v>
      </c>
    </row>
    <row r="53" spans="1:18" hidden="1" x14ac:dyDescent="0.25">
      <c r="A53" s="130"/>
      <c r="B53" s="150" t="s">
        <v>262</v>
      </c>
      <c r="C53" s="130"/>
      <c r="D53" s="130"/>
      <c r="E53" s="139"/>
      <c r="F53" s="130"/>
      <c r="G53" s="134"/>
      <c r="H53" s="134"/>
      <c r="I53" s="134"/>
      <c r="J53" s="134"/>
      <c r="K53" s="134"/>
      <c r="L53" s="130">
        <f t="shared" si="0"/>
        <v>0</v>
      </c>
      <c r="M53" s="134"/>
      <c r="N53" s="130">
        <f t="shared" si="1"/>
        <v>0</v>
      </c>
      <c r="O53" s="130"/>
      <c r="P53" s="130">
        <f t="shared" si="1"/>
        <v>0</v>
      </c>
      <c r="R53">
        <f t="shared" si="1"/>
        <v>0</v>
      </c>
    </row>
    <row r="54" spans="1:18" hidden="1" x14ac:dyDescent="0.25">
      <c r="A54" s="130"/>
      <c r="B54" s="150" t="s">
        <v>225</v>
      </c>
      <c r="C54" s="130"/>
      <c r="D54" s="130"/>
      <c r="E54" s="139"/>
      <c r="F54" s="130"/>
      <c r="G54" s="134"/>
      <c r="H54" s="134"/>
      <c r="I54" s="134"/>
      <c r="J54" s="134"/>
      <c r="K54" s="134"/>
      <c r="L54" s="130">
        <f t="shared" si="0"/>
        <v>0</v>
      </c>
      <c r="M54" s="134"/>
      <c r="N54" s="130">
        <f t="shared" si="1"/>
        <v>0</v>
      </c>
      <c r="O54" s="130"/>
      <c r="P54" s="130">
        <f t="shared" si="1"/>
        <v>0</v>
      </c>
      <c r="R54">
        <f t="shared" si="1"/>
        <v>0</v>
      </c>
    </row>
    <row r="55" spans="1:18" hidden="1" x14ac:dyDescent="0.25">
      <c r="A55" s="130"/>
      <c r="B55" s="150" t="s">
        <v>226</v>
      </c>
      <c r="C55" s="130"/>
      <c r="D55" s="130"/>
      <c r="E55" s="139"/>
      <c r="F55" s="130"/>
      <c r="G55" s="134"/>
      <c r="H55" s="134"/>
      <c r="I55" s="134"/>
      <c r="J55" s="134"/>
      <c r="K55" s="134"/>
      <c r="L55" s="130">
        <f t="shared" si="0"/>
        <v>0</v>
      </c>
      <c r="M55" s="134"/>
      <c r="N55" s="130">
        <f t="shared" si="1"/>
        <v>0</v>
      </c>
      <c r="O55" s="130"/>
      <c r="P55" s="130">
        <f t="shared" si="1"/>
        <v>0</v>
      </c>
      <c r="R55">
        <f t="shared" si="1"/>
        <v>0</v>
      </c>
    </row>
    <row r="56" spans="1:18" ht="15.75" hidden="1" thickBot="1" x14ac:dyDescent="0.3">
      <c r="A56" s="130"/>
      <c r="B56" s="151" t="s">
        <v>227</v>
      </c>
      <c r="C56" s="130"/>
      <c r="D56" s="130"/>
      <c r="E56" s="139"/>
      <c r="F56" s="130"/>
      <c r="G56" s="134"/>
      <c r="H56" s="134"/>
      <c r="I56" s="134"/>
      <c r="J56" s="134"/>
      <c r="K56" s="134"/>
      <c r="L56" s="130">
        <f t="shared" si="0"/>
        <v>0</v>
      </c>
      <c r="M56" s="134"/>
      <c r="N56" s="130">
        <f t="shared" si="1"/>
        <v>0</v>
      </c>
      <c r="O56" s="130"/>
      <c r="P56" s="130">
        <f t="shared" si="1"/>
        <v>0</v>
      </c>
      <c r="R56">
        <f t="shared" si="1"/>
        <v>0</v>
      </c>
    </row>
    <row r="57" spans="1:18" hidden="1" x14ac:dyDescent="0.25">
      <c r="A57" s="130"/>
      <c r="B57" s="130"/>
      <c r="C57" s="130"/>
      <c r="D57" s="130"/>
      <c r="E57" s="139"/>
      <c r="F57" s="130"/>
      <c r="G57" s="134"/>
      <c r="H57" s="134"/>
      <c r="I57" s="134"/>
      <c r="J57" s="134"/>
      <c r="K57" s="134"/>
      <c r="L57" s="134">
        <f>SUM(L45:L56)</f>
        <v>0</v>
      </c>
      <c r="M57" s="134"/>
      <c r="N57" s="134">
        <f>SUM(N45:N56)</f>
        <v>0</v>
      </c>
      <c r="O57" s="130"/>
      <c r="P57" s="134">
        <f>SUM(P45:P56)</f>
        <v>0</v>
      </c>
      <c r="R57" s="11">
        <f>SUM(R45:R56)</f>
        <v>0</v>
      </c>
    </row>
    <row r="58" spans="1:18" hidden="1" x14ac:dyDescent="0.25">
      <c r="A58" s="130"/>
      <c r="B58" s="149" t="s">
        <v>56</v>
      </c>
      <c r="C58" s="130"/>
      <c r="D58" s="130"/>
      <c r="E58" s="139"/>
      <c r="F58" s="130"/>
      <c r="G58" s="134"/>
      <c r="H58" s="134"/>
      <c r="I58" s="134"/>
      <c r="J58" s="134"/>
      <c r="K58" s="134"/>
      <c r="L58" s="134"/>
      <c r="M58" s="134"/>
      <c r="N58" s="130"/>
      <c r="O58" s="130"/>
      <c r="P58" s="130"/>
    </row>
    <row r="59" spans="1:18" hidden="1" x14ac:dyDescent="0.25">
      <c r="A59" s="130"/>
      <c r="B59" s="150" t="s">
        <v>263</v>
      </c>
      <c r="C59" s="130"/>
      <c r="D59" s="130">
        <v>2</v>
      </c>
      <c r="E59" s="139"/>
      <c r="F59" s="130">
        <v>2</v>
      </c>
      <c r="G59" s="134"/>
      <c r="H59" s="134"/>
      <c r="I59" s="134"/>
      <c r="J59" s="134">
        <v>1</v>
      </c>
      <c r="K59" s="134"/>
      <c r="L59" s="130">
        <f>IF(OR($F$17=$B59,$F$19=$B59,$F$21=$B59,$F$23=$B59)=TRUE,D59,0)</f>
        <v>0</v>
      </c>
      <c r="M59" s="134"/>
      <c r="N59" s="130">
        <f>IF(OR($F$17=$B59,$F$19=$B59,$F$21=$B59,$F$23=$B59)=TRUE,F59,0)</f>
        <v>0</v>
      </c>
      <c r="O59" s="130"/>
      <c r="P59" s="130">
        <f>IF(OR($F$17=$B59,$F$19=$B59,$F$21=$B59,$F$23=$B59)=TRUE,H59,0)</f>
        <v>0</v>
      </c>
      <c r="R59">
        <f>IF(OR($F$17=$B59,$F$19=$B59,$F$21=$B59,$F$23=$B59)=TRUE,J59,0)</f>
        <v>0</v>
      </c>
    </row>
    <row r="60" spans="1:18" hidden="1" x14ac:dyDescent="0.25">
      <c r="A60" s="130"/>
      <c r="B60" s="150" t="s">
        <v>264</v>
      </c>
      <c r="C60" s="130"/>
      <c r="D60" s="130">
        <v>2</v>
      </c>
      <c r="E60" s="139"/>
      <c r="F60" s="130">
        <v>2</v>
      </c>
      <c r="G60" s="134"/>
      <c r="H60" s="134"/>
      <c r="I60" s="134"/>
      <c r="J60" s="134">
        <v>2</v>
      </c>
      <c r="K60" s="134"/>
      <c r="L60" s="130">
        <f t="shared" ref="L60:R71" si="2">IF(OR($F$17=$B60,$F$19=$B60,$F$21=$B60,$F$23=$B60)=TRUE,D60,0)</f>
        <v>0</v>
      </c>
      <c r="M60" s="134"/>
      <c r="N60" s="130">
        <f t="shared" si="2"/>
        <v>0</v>
      </c>
      <c r="O60" s="130"/>
      <c r="P60" s="130">
        <f t="shared" si="2"/>
        <v>0</v>
      </c>
      <c r="R60">
        <f t="shared" si="2"/>
        <v>0</v>
      </c>
    </row>
    <row r="61" spans="1:18" hidden="1" x14ac:dyDescent="0.25">
      <c r="A61" s="130"/>
      <c r="B61" s="150" t="s">
        <v>265</v>
      </c>
      <c r="C61" s="130"/>
      <c r="D61" s="130">
        <v>2</v>
      </c>
      <c r="E61" s="139"/>
      <c r="F61" s="130">
        <v>2</v>
      </c>
      <c r="G61" s="134"/>
      <c r="H61" s="134"/>
      <c r="I61" s="134"/>
      <c r="J61" s="134">
        <v>3</v>
      </c>
      <c r="K61" s="134"/>
      <c r="L61" s="130">
        <f t="shared" si="2"/>
        <v>0</v>
      </c>
      <c r="M61" s="134"/>
      <c r="N61" s="130">
        <f t="shared" si="2"/>
        <v>0</v>
      </c>
      <c r="O61" s="130"/>
      <c r="P61" s="130">
        <f t="shared" si="2"/>
        <v>0</v>
      </c>
      <c r="R61">
        <f t="shared" si="2"/>
        <v>0</v>
      </c>
    </row>
    <row r="62" spans="1:18" hidden="1" x14ac:dyDescent="0.25">
      <c r="A62" s="130"/>
      <c r="B62" s="150" t="s">
        <v>266</v>
      </c>
      <c r="C62" s="130"/>
      <c r="D62" s="130">
        <v>2</v>
      </c>
      <c r="E62" s="139"/>
      <c r="F62" s="130">
        <v>2</v>
      </c>
      <c r="G62" s="134"/>
      <c r="H62" s="134"/>
      <c r="I62" s="134"/>
      <c r="J62" s="134">
        <v>4</v>
      </c>
      <c r="K62" s="134"/>
      <c r="L62" s="130">
        <f t="shared" si="2"/>
        <v>0</v>
      </c>
      <c r="M62" s="134"/>
      <c r="N62" s="130">
        <f t="shared" si="2"/>
        <v>0</v>
      </c>
      <c r="O62" s="130"/>
      <c r="P62" s="130">
        <f t="shared" si="2"/>
        <v>0</v>
      </c>
      <c r="R62">
        <f t="shared" si="2"/>
        <v>0</v>
      </c>
    </row>
    <row r="63" spans="1:18" hidden="1" x14ac:dyDescent="0.25">
      <c r="A63" s="130"/>
      <c r="B63" s="150" t="s">
        <v>267</v>
      </c>
      <c r="C63" s="130"/>
      <c r="D63" s="130">
        <v>2</v>
      </c>
      <c r="E63" s="139"/>
      <c r="F63" s="130">
        <v>2</v>
      </c>
      <c r="G63" s="134"/>
      <c r="H63" s="134"/>
      <c r="I63" s="134"/>
      <c r="J63" s="134">
        <v>5</v>
      </c>
      <c r="K63" s="134"/>
      <c r="L63" s="130">
        <f t="shared" si="2"/>
        <v>0</v>
      </c>
      <c r="M63" s="134"/>
      <c r="N63" s="130">
        <f t="shared" si="2"/>
        <v>0</v>
      </c>
      <c r="O63" s="130"/>
      <c r="P63" s="130">
        <f t="shared" si="2"/>
        <v>0</v>
      </c>
      <c r="R63">
        <f t="shared" si="2"/>
        <v>0</v>
      </c>
    </row>
    <row r="64" spans="1:18" hidden="1" x14ac:dyDescent="0.25">
      <c r="A64" s="130"/>
      <c r="B64" s="150" t="s">
        <v>228</v>
      </c>
      <c r="C64" s="130"/>
      <c r="D64" s="130">
        <v>1</v>
      </c>
      <c r="E64" s="139"/>
      <c r="F64" s="130"/>
      <c r="G64" s="134"/>
      <c r="H64" s="134"/>
      <c r="I64" s="134"/>
      <c r="J64" s="134">
        <v>5</v>
      </c>
      <c r="K64" s="134"/>
      <c r="L64" s="130">
        <f t="shared" si="2"/>
        <v>0</v>
      </c>
      <c r="M64" s="134"/>
      <c r="N64" s="130">
        <f t="shared" si="2"/>
        <v>0</v>
      </c>
      <c r="O64" s="130"/>
      <c r="P64" s="130">
        <f t="shared" si="2"/>
        <v>0</v>
      </c>
      <c r="R64">
        <f t="shared" si="2"/>
        <v>0</v>
      </c>
    </row>
    <row r="65" spans="1:18" hidden="1" x14ac:dyDescent="0.25">
      <c r="A65" s="130"/>
      <c r="B65" s="150" t="s">
        <v>229</v>
      </c>
      <c r="C65" s="130"/>
      <c r="D65" s="130">
        <v>2</v>
      </c>
      <c r="E65" s="139"/>
      <c r="F65" s="130"/>
      <c r="G65" s="134"/>
      <c r="H65" s="134"/>
      <c r="I65" s="134"/>
      <c r="J65" s="134">
        <v>50</v>
      </c>
      <c r="K65" s="134"/>
      <c r="L65" s="130">
        <f t="shared" si="2"/>
        <v>0</v>
      </c>
      <c r="M65" s="134"/>
      <c r="N65" s="130">
        <f t="shared" si="2"/>
        <v>0</v>
      </c>
      <c r="O65" s="130"/>
      <c r="P65" s="130">
        <f t="shared" si="2"/>
        <v>0</v>
      </c>
      <c r="R65">
        <f t="shared" si="2"/>
        <v>0</v>
      </c>
    </row>
    <row r="66" spans="1:18" hidden="1" x14ac:dyDescent="0.25">
      <c r="A66" s="130"/>
      <c r="B66" s="150" t="s">
        <v>230</v>
      </c>
      <c r="C66" s="130"/>
      <c r="D66" s="130"/>
      <c r="E66" s="139"/>
      <c r="F66" s="130">
        <v>1</v>
      </c>
      <c r="G66" s="134"/>
      <c r="H66" s="134"/>
      <c r="I66" s="134"/>
      <c r="J66" s="134">
        <v>3</v>
      </c>
      <c r="K66" s="134"/>
      <c r="L66" s="130">
        <f t="shared" si="2"/>
        <v>0</v>
      </c>
      <c r="M66" s="134"/>
      <c r="N66" s="130">
        <f t="shared" si="2"/>
        <v>0</v>
      </c>
      <c r="O66" s="130"/>
      <c r="P66" s="130">
        <f t="shared" si="2"/>
        <v>0</v>
      </c>
      <c r="R66">
        <f t="shared" si="2"/>
        <v>0</v>
      </c>
    </row>
    <row r="67" spans="1:18" hidden="1" x14ac:dyDescent="0.25">
      <c r="A67" s="130"/>
      <c r="B67" s="150" t="s">
        <v>231</v>
      </c>
      <c r="C67" s="130"/>
      <c r="D67" s="130"/>
      <c r="E67" s="139"/>
      <c r="F67" s="130">
        <v>2</v>
      </c>
      <c r="G67" s="134"/>
      <c r="H67" s="134"/>
      <c r="I67" s="134"/>
      <c r="J67" s="134">
        <v>15</v>
      </c>
      <c r="K67" s="134"/>
      <c r="L67" s="130">
        <f t="shared" si="2"/>
        <v>0</v>
      </c>
      <c r="M67" s="134"/>
      <c r="N67" s="130">
        <f t="shared" si="2"/>
        <v>0</v>
      </c>
      <c r="O67" s="130"/>
      <c r="P67" s="130">
        <f t="shared" si="2"/>
        <v>0</v>
      </c>
      <c r="R67">
        <f t="shared" si="2"/>
        <v>0</v>
      </c>
    </row>
    <row r="68" spans="1:18" hidden="1" x14ac:dyDescent="0.25">
      <c r="A68" s="130"/>
      <c r="B68" s="150" t="s">
        <v>232</v>
      </c>
      <c r="C68" s="130"/>
      <c r="D68" s="130"/>
      <c r="E68" s="139"/>
      <c r="F68" s="130"/>
      <c r="G68" s="134"/>
      <c r="H68" s="134"/>
      <c r="I68" s="134"/>
      <c r="J68" s="134">
        <v>10</v>
      </c>
      <c r="K68" s="134"/>
      <c r="L68" s="130">
        <f t="shared" si="2"/>
        <v>0</v>
      </c>
      <c r="M68" s="134"/>
      <c r="N68" s="130">
        <f t="shared" si="2"/>
        <v>0</v>
      </c>
      <c r="O68" s="130"/>
      <c r="P68" s="130">
        <f t="shared" si="2"/>
        <v>0</v>
      </c>
      <c r="R68">
        <f t="shared" si="2"/>
        <v>0</v>
      </c>
    </row>
    <row r="69" spans="1:18" hidden="1" x14ac:dyDescent="0.25">
      <c r="A69" s="130"/>
      <c r="B69" s="150" t="s">
        <v>233</v>
      </c>
      <c r="C69" s="130"/>
      <c r="D69" s="130"/>
      <c r="E69" s="139"/>
      <c r="F69" s="130"/>
      <c r="G69" s="134"/>
      <c r="H69" s="134"/>
      <c r="I69" s="134"/>
      <c r="J69" s="134">
        <v>2</v>
      </c>
      <c r="K69" s="134"/>
      <c r="L69" s="130">
        <f t="shared" si="2"/>
        <v>0</v>
      </c>
      <c r="M69" s="134"/>
      <c r="N69" s="130">
        <f t="shared" si="2"/>
        <v>0</v>
      </c>
      <c r="O69" s="130"/>
      <c r="P69" s="130">
        <f t="shared" si="2"/>
        <v>0</v>
      </c>
      <c r="R69">
        <f t="shared" si="2"/>
        <v>0</v>
      </c>
    </row>
    <row r="70" spans="1:18" hidden="1" x14ac:dyDescent="0.25">
      <c r="A70" s="130"/>
      <c r="B70" s="150" t="s">
        <v>234</v>
      </c>
      <c r="C70" s="130"/>
      <c r="D70" s="130"/>
      <c r="E70" s="139"/>
      <c r="F70" s="130"/>
      <c r="G70" s="134"/>
      <c r="H70" s="134"/>
      <c r="I70" s="134"/>
      <c r="J70" s="134">
        <v>15</v>
      </c>
      <c r="K70" s="134"/>
      <c r="L70" s="130">
        <f t="shared" si="2"/>
        <v>0</v>
      </c>
      <c r="M70" s="134"/>
      <c r="N70" s="130">
        <f t="shared" si="2"/>
        <v>0</v>
      </c>
      <c r="O70" s="130"/>
      <c r="P70" s="130">
        <f t="shared" si="2"/>
        <v>0</v>
      </c>
      <c r="R70">
        <f t="shared" si="2"/>
        <v>0</v>
      </c>
    </row>
    <row r="71" spans="1:18" ht="15.75" hidden="1" thickBot="1" x14ac:dyDescent="0.3">
      <c r="A71" s="130"/>
      <c r="B71" s="151" t="s">
        <v>253</v>
      </c>
      <c r="C71" s="130"/>
      <c r="D71" s="130"/>
      <c r="E71" s="139"/>
      <c r="F71" s="130"/>
      <c r="G71" s="134"/>
      <c r="H71" s="134"/>
      <c r="I71" s="134"/>
      <c r="J71" s="134">
        <v>10</v>
      </c>
      <c r="K71" s="134"/>
      <c r="L71" s="130">
        <f t="shared" si="2"/>
        <v>0</v>
      </c>
      <c r="M71" s="134"/>
      <c r="N71" s="130">
        <f t="shared" si="2"/>
        <v>0</v>
      </c>
      <c r="O71" s="130"/>
      <c r="P71" s="130">
        <f t="shared" si="2"/>
        <v>0</v>
      </c>
      <c r="R71">
        <f t="shared" si="2"/>
        <v>0</v>
      </c>
    </row>
    <row r="72" spans="1:18" hidden="1" x14ac:dyDescent="0.25">
      <c r="A72" s="130"/>
      <c r="B72" s="130"/>
      <c r="C72" s="130"/>
      <c r="D72" s="130"/>
      <c r="E72" s="139"/>
      <c r="F72" s="130"/>
      <c r="G72" s="134"/>
      <c r="H72" s="134"/>
      <c r="I72" s="134"/>
      <c r="J72" s="134"/>
      <c r="K72" s="134"/>
      <c r="L72" s="134">
        <f>SUM(L59:L71)</f>
        <v>0</v>
      </c>
      <c r="M72" s="134"/>
      <c r="N72" s="134">
        <f>SUM(N59:N71)</f>
        <v>0</v>
      </c>
      <c r="O72" s="130"/>
      <c r="P72" s="134">
        <f>SUM(P59:P71)</f>
        <v>0</v>
      </c>
      <c r="R72" s="11">
        <f>SUM(R59:R71)</f>
        <v>0</v>
      </c>
    </row>
    <row r="73" spans="1:18" hidden="1" x14ac:dyDescent="0.25">
      <c r="A73" s="130"/>
      <c r="B73" s="149" t="s">
        <v>235</v>
      </c>
      <c r="C73" s="130"/>
      <c r="D73" s="130"/>
      <c r="E73" s="139"/>
      <c r="F73" s="130"/>
      <c r="G73" s="134"/>
      <c r="H73" s="134"/>
      <c r="I73" s="134"/>
      <c r="J73" s="134"/>
      <c r="K73" s="134"/>
      <c r="L73" s="130"/>
      <c r="M73" s="134"/>
      <c r="N73" s="130"/>
      <c r="O73" s="130"/>
      <c r="P73" s="130"/>
    </row>
    <row r="74" spans="1:18" hidden="1" x14ac:dyDescent="0.25">
      <c r="A74" s="130"/>
      <c r="B74" s="150" t="s">
        <v>236</v>
      </c>
      <c r="C74" s="130"/>
      <c r="D74" s="130"/>
      <c r="E74" s="139"/>
      <c r="F74" s="130"/>
      <c r="G74" s="134"/>
      <c r="H74" s="134"/>
      <c r="I74" s="134"/>
      <c r="J74" s="134"/>
      <c r="K74" s="134"/>
      <c r="L74" s="130">
        <f>IF(OR($B$31=$B74,$B$33=$B74,$B$35=$B74,$B$35=$B74,$B$37=$B74,$B$39=$B74)=TRUE,D74,0)</f>
        <v>0</v>
      </c>
      <c r="M74" s="134"/>
      <c r="N74" s="130">
        <f t="shared" ref="N74:N90" si="3">IF(OR($B$31=$B74,$B$33=$B74,$B$35=$B74,$B$35=$B74,$B$37=$B74,$B$39=$B74)=TRUE,F74,0)</f>
        <v>0</v>
      </c>
      <c r="O74" s="130"/>
      <c r="P74" s="130">
        <f t="shared" ref="P74:P90" si="4">IF(OR($B$31=$B74,$B$33=$B74,$B$35=$B74,$B$35=$B74,$B$37=$B74,$B$39=$B74)=TRUE,H74,0)</f>
        <v>0</v>
      </c>
      <c r="R74">
        <f t="shared" ref="R74:R90" si="5">IF(OR($B$31=$B74,$B$33=$B74,$B$35=$B74,$B$35=$B74,$B$37=$B74,$B$39=$B74)=TRUE,J74,0)</f>
        <v>0</v>
      </c>
    </row>
    <row r="75" spans="1:18" hidden="1" x14ac:dyDescent="0.25">
      <c r="A75" s="130"/>
      <c r="B75" s="150" t="s">
        <v>240</v>
      </c>
      <c r="C75" s="130"/>
      <c r="D75" s="130"/>
      <c r="E75" s="139"/>
      <c r="F75" s="130"/>
      <c r="G75" s="134"/>
      <c r="H75" s="134"/>
      <c r="I75" s="134"/>
      <c r="J75" s="134"/>
      <c r="K75" s="134"/>
      <c r="L75" s="130">
        <f t="shared" ref="L75:L90" si="6">IF(OR($B$31=$B75,$B$33=$B75,$B$35=$B75,$B$35=$B75,$B$37=$B75,$B$39=$B75)=TRUE,D75,0)</f>
        <v>0</v>
      </c>
      <c r="M75" s="134"/>
      <c r="N75" s="130">
        <f t="shared" si="3"/>
        <v>0</v>
      </c>
      <c r="O75" s="130"/>
      <c r="P75" s="130">
        <f t="shared" si="4"/>
        <v>0</v>
      </c>
      <c r="R75">
        <f t="shared" si="5"/>
        <v>0</v>
      </c>
    </row>
    <row r="76" spans="1:18" hidden="1" x14ac:dyDescent="0.25">
      <c r="A76" s="130"/>
      <c r="B76" s="150" t="s">
        <v>251</v>
      </c>
      <c r="C76" s="130"/>
      <c r="D76" s="130"/>
      <c r="E76" s="139"/>
      <c r="F76" s="130"/>
      <c r="G76" s="134"/>
      <c r="H76" s="134"/>
      <c r="I76" s="134"/>
      <c r="J76" s="134">
        <v>-1</v>
      </c>
      <c r="K76" s="134"/>
      <c r="L76" s="130">
        <f t="shared" si="6"/>
        <v>0</v>
      </c>
      <c r="M76" s="134"/>
      <c r="N76" s="130">
        <f t="shared" si="3"/>
        <v>0</v>
      </c>
      <c r="O76" s="130"/>
      <c r="P76" s="130">
        <f t="shared" si="4"/>
        <v>0</v>
      </c>
      <c r="R76">
        <f t="shared" si="5"/>
        <v>0</v>
      </c>
    </row>
    <row r="77" spans="1:18" hidden="1" x14ac:dyDescent="0.25">
      <c r="A77" s="130"/>
      <c r="B77" s="150" t="s">
        <v>237</v>
      </c>
      <c r="C77" s="134"/>
      <c r="D77" s="130"/>
      <c r="E77" s="139"/>
      <c r="F77" s="130"/>
      <c r="G77" s="134"/>
      <c r="H77" s="134"/>
      <c r="I77" s="134"/>
      <c r="J77" s="134"/>
      <c r="K77" s="134"/>
      <c r="L77" s="130">
        <f t="shared" si="6"/>
        <v>0</v>
      </c>
      <c r="M77" s="134"/>
      <c r="N77" s="130">
        <f t="shared" si="3"/>
        <v>0</v>
      </c>
      <c r="O77" s="130"/>
      <c r="P77" s="130">
        <f t="shared" si="4"/>
        <v>0</v>
      </c>
      <c r="R77">
        <f t="shared" si="5"/>
        <v>0</v>
      </c>
    </row>
    <row r="78" spans="1:18" hidden="1" x14ac:dyDescent="0.25">
      <c r="A78" s="130"/>
      <c r="B78" s="150" t="s">
        <v>239</v>
      </c>
      <c r="C78" s="134"/>
      <c r="D78" s="130"/>
      <c r="E78" s="139"/>
      <c r="F78" s="130"/>
      <c r="G78" s="134"/>
      <c r="H78" s="134"/>
      <c r="I78" s="134"/>
      <c r="J78" s="134"/>
      <c r="K78" s="134"/>
      <c r="L78" s="130">
        <f t="shared" si="6"/>
        <v>0</v>
      </c>
      <c r="M78" s="134"/>
      <c r="N78" s="130">
        <f t="shared" si="3"/>
        <v>0</v>
      </c>
      <c r="O78" s="130"/>
      <c r="P78" s="130">
        <f t="shared" si="4"/>
        <v>0</v>
      </c>
      <c r="R78">
        <f t="shared" si="5"/>
        <v>0</v>
      </c>
    </row>
    <row r="79" spans="1:18" hidden="1" x14ac:dyDescent="0.25">
      <c r="A79" s="130"/>
      <c r="B79" s="150" t="s">
        <v>243</v>
      </c>
      <c r="C79" s="134"/>
      <c r="D79" s="130"/>
      <c r="E79" s="139"/>
      <c r="F79" s="130"/>
      <c r="G79" s="134"/>
      <c r="H79" s="134"/>
      <c r="I79" s="134"/>
      <c r="J79" s="134"/>
      <c r="K79" s="134"/>
      <c r="L79" s="130">
        <f t="shared" si="6"/>
        <v>0</v>
      </c>
      <c r="M79" s="134"/>
      <c r="N79" s="130">
        <f t="shared" si="3"/>
        <v>0</v>
      </c>
      <c r="O79" s="130"/>
      <c r="P79" s="130">
        <f t="shared" si="4"/>
        <v>0</v>
      </c>
      <c r="R79">
        <f t="shared" si="5"/>
        <v>0</v>
      </c>
    </row>
    <row r="80" spans="1:18" hidden="1" x14ac:dyDescent="0.25">
      <c r="A80" s="130"/>
      <c r="B80" s="150" t="s">
        <v>252</v>
      </c>
      <c r="C80" s="134"/>
      <c r="D80" s="130"/>
      <c r="E80" s="139"/>
      <c r="F80" s="130"/>
      <c r="G80" s="134"/>
      <c r="H80" s="134"/>
      <c r="I80" s="134"/>
      <c r="J80" s="134"/>
      <c r="K80" s="134"/>
      <c r="L80" s="130">
        <f t="shared" si="6"/>
        <v>0</v>
      </c>
      <c r="M80" s="134"/>
      <c r="N80" s="130">
        <f t="shared" si="3"/>
        <v>0</v>
      </c>
      <c r="O80" s="130"/>
      <c r="P80" s="130">
        <f t="shared" si="4"/>
        <v>0</v>
      </c>
      <c r="R80">
        <f t="shared" si="5"/>
        <v>0</v>
      </c>
    </row>
    <row r="81" spans="1:18" hidden="1" x14ac:dyDescent="0.25">
      <c r="A81" s="130"/>
      <c r="B81" s="150" t="s">
        <v>244</v>
      </c>
      <c r="C81" s="134"/>
      <c r="D81" s="130"/>
      <c r="E81" s="139"/>
      <c r="F81" s="130">
        <v>1</v>
      </c>
      <c r="G81" s="134"/>
      <c r="H81" s="134"/>
      <c r="I81" s="134"/>
      <c r="J81" s="134"/>
      <c r="K81" s="134"/>
      <c r="L81" s="130">
        <f t="shared" si="6"/>
        <v>0</v>
      </c>
      <c r="M81" s="134"/>
      <c r="N81" s="130">
        <f t="shared" si="3"/>
        <v>0</v>
      </c>
      <c r="O81" s="130"/>
      <c r="P81" s="130">
        <f t="shared" si="4"/>
        <v>0</v>
      </c>
      <c r="R81">
        <f t="shared" si="5"/>
        <v>0</v>
      </c>
    </row>
    <row r="82" spans="1:18" hidden="1" x14ac:dyDescent="0.25">
      <c r="A82" s="130"/>
      <c r="B82" s="150" t="s">
        <v>245</v>
      </c>
      <c r="C82" s="134"/>
      <c r="D82" s="130"/>
      <c r="E82" s="139"/>
      <c r="F82" s="130"/>
      <c r="G82" s="134"/>
      <c r="H82" s="134"/>
      <c r="I82" s="134"/>
      <c r="J82" s="134"/>
      <c r="K82" s="134"/>
      <c r="L82" s="130">
        <f t="shared" si="6"/>
        <v>0</v>
      </c>
      <c r="M82" s="134"/>
      <c r="N82" s="130">
        <f t="shared" si="3"/>
        <v>0</v>
      </c>
      <c r="O82" s="130"/>
      <c r="P82" s="130">
        <f t="shared" si="4"/>
        <v>0</v>
      </c>
      <c r="R82">
        <f t="shared" si="5"/>
        <v>0</v>
      </c>
    </row>
    <row r="83" spans="1:18" hidden="1" x14ac:dyDescent="0.25">
      <c r="A83" s="130"/>
      <c r="B83" s="150" t="s">
        <v>241</v>
      </c>
      <c r="C83" s="134"/>
      <c r="D83" s="130"/>
      <c r="E83" s="139"/>
      <c r="F83" s="130"/>
      <c r="G83" s="134"/>
      <c r="H83" s="134"/>
      <c r="I83" s="134"/>
      <c r="J83" s="134"/>
      <c r="K83" s="134"/>
      <c r="L83" s="130">
        <f t="shared" si="6"/>
        <v>0</v>
      </c>
      <c r="M83" s="134"/>
      <c r="N83" s="130">
        <f t="shared" si="3"/>
        <v>0</v>
      </c>
      <c r="O83" s="130"/>
      <c r="P83" s="130">
        <f t="shared" si="4"/>
        <v>0</v>
      </c>
      <c r="R83">
        <f t="shared" si="5"/>
        <v>0</v>
      </c>
    </row>
    <row r="84" spans="1:18" hidden="1" x14ac:dyDescent="0.25">
      <c r="A84" s="130"/>
      <c r="B84" s="150" t="s">
        <v>246</v>
      </c>
      <c r="C84" s="134"/>
      <c r="D84" s="130"/>
      <c r="E84" s="139"/>
      <c r="F84" s="130"/>
      <c r="G84" s="134"/>
      <c r="H84" s="134"/>
      <c r="I84" s="134"/>
      <c r="J84" s="134"/>
      <c r="K84" s="134"/>
      <c r="L84" s="130">
        <f t="shared" si="6"/>
        <v>0</v>
      </c>
      <c r="M84" s="134"/>
      <c r="N84" s="130">
        <f t="shared" si="3"/>
        <v>0</v>
      </c>
      <c r="O84" s="130"/>
      <c r="P84" s="130">
        <f t="shared" si="4"/>
        <v>0</v>
      </c>
      <c r="R84">
        <f t="shared" si="5"/>
        <v>0</v>
      </c>
    </row>
    <row r="85" spans="1:18" hidden="1" x14ac:dyDescent="0.25">
      <c r="A85" s="130"/>
      <c r="B85" s="150" t="s">
        <v>238</v>
      </c>
      <c r="C85" s="134"/>
      <c r="D85" s="130"/>
      <c r="E85" s="139"/>
      <c r="F85" s="130"/>
      <c r="G85" s="134"/>
      <c r="H85" s="134"/>
      <c r="I85" s="134"/>
      <c r="J85" s="134"/>
      <c r="K85" s="134"/>
      <c r="L85" s="130">
        <f t="shared" si="6"/>
        <v>0</v>
      </c>
      <c r="M85" s="134"/>
      <c r="N85" s="130">
        <f t="shared" si="3"/>
        <v>0</v>
      </c>
      <c r="O85" s="130"/>
      <c r="P85" s="130">
        <f t="shared" si="4"/>
        <v>0</v>
      </c>
      <c r="R85">
        <f t="shared" si="5"/>
        <v>0</v>
      </c>
    </row>
    <row r="86" spans="1:18" hidden="1" x14ac:dyDescent="0.25">
      <c r="A86" s="130"/>
      <c r="B86" s="150" t="s">
        <v>247</v>
      </c>
      <c r="C86" s="134"/>
      <c r="D86" s="130"/>
      <c r="E86" s="139"/>
      <c r="F86" s="130"/>
      <c r="G86" s="134"/>
      <c r="H86" s="134"/>
      <c r="I86" s="134"/>
      <c r="J86" s="134"/>
      <c r="K86" s="134"/>
      <c r="L86" s="130">
        <f t="shared" si="6"/>
        <v>0</v>
      </c>
      <c r="M86" s="134"/>
      <c r="N86" s="130">
        <f t="shared" si="3"/>
        <v>0</v>
      </c>
      <c r="O86" s="130"/>
      <c r="P86" s="130">
        <f t="shared" si="4"/>
        <v>0</v>
      </c>
      <c r="R86">
        <f t="shared" si="5"/>
        <v>0</v>
      </c>
    </row>
    <row r="87" spans="1:18" hidden="1" x14ac:dyDescent="0.25">
      <c r="A87" s="130"/>
      <c r="B87" s="150" t="s">
        <v>248</v>
      </c>
      <c r="C87" s="134"/>
      <c r="D87" s="130"/>
      <c r="E87" s="139"/>
      <c r="F87" s="130">
        <v>10</v>
      </c>
      <c r="G87" s="134"/>
      <c r="H87" s="134"/>
      <c r="I87" s="134"/>
      <c r="J87" s="134"/>
      <c r="K87" s="134"/>
      <c r="L87" s="130">
        <f t="shared" si="6"/>
        <v>0</v>
      </c>
      <c r="M87" s="134"/>
      <c r="N87" s="130">
        <f t="shared" si="3"/>
        <v>0</v>
      </c>
      <c r="O87" s="130"/>
      <c r="P87" s="130">
        <f t="shared" si="4"/>
        <v>0</v>
      </c>
      <c r="R87">
        <f t="shared" si="5"/>
        <v>0</v>
      </c>
    </row>
    <row r="88" spans="1:18" hidden="1" x14ac:dyDescent="0.25">
      <c r="A88" s="130"/>
      <c r="B88" s="150" t="s">
        <v>249</v>
      </c>
      <c r="C88" s="134"/>
      <c r="D88" s="130"/>
      <c r="E88" s="139"/>
      <c r="F88" s="130"/>
      <c r="G88" s="134"/>
      <c r="H88" s="134"/>
      <c r="I88" s="134"/>
      <c r="J88" s="134"/>
      <c r="K88" s="134"/>
      <c r="L88" s="130">
        <f t="shared" si="6"/>
        <v>0</v>
      </c>
      <c r="M88" s="134"/>
      <c r="N88" s="130">
        <f t="shared" si="3"/>
        <v>0</v>
      </c>
      <c r="O88" s="130"/>
      <c r="P88" s="130">
        <f t="shared" si="4"/>
        <v>0</v>
      </c>
      <c r="R88">
        <f t="shared" si="5"/>
        <v>0</v>
      </c>
    </row>
    <row r="89" spans="1:18" hidden="1" x14ac:dyDescent="0.25">
      <c r="A89" s="130"/>
      <c r="B89" s="150" t="s">
        <v>250</v>
      </c>
      <c r="C89" s="134"/>
      <c r="D89" s="130"/>
      <c r="E89" s="139"/>
      <c r="F89" s="130"/>
      <c r="G89" s="134"/>
      <c r="H89" s="134"/>
      <c r="I89" s="134"/>
      <c r="J89" s="134"/>
      <c r="K89" s="134"/>
      <c r="L89" s="130">
        <f t="shared" si="6"/>
        <v>0</v>
      </c>
      <c r="M89" s="134"/>
      <c r="N89" s="130">
        <f t="shared" si="3"/>
        <v>0</v>
      </c>
      <c r="O89" s="130"/>
      <c r="P89" s="130">
        <f t="shared" si="4"/>
        <v>0</v>
      </c>
      <c r="R89">
        <f t="shared" si="5"/>
        <v>0</v>
      </c>
    </row>
    <row r="90" spans="1:18" ht="15.75" hidden="1" thickBot="1" x14ac:dyDescent="0.3">
      <c r="A90" s="130"/>
      <c r="B90" s="151" t="s">
        <v>242</v>
      </c>
      <c r="C90" s="134"/>
      <c r="D90" s="130"/>
      <c r="E90" s="139"/>
      <c r="F90" s="130"/>
      <c r="G90" s="134"/>
      <c r="H90" s="134"/>
      <c r="I90" s="134"/>
      <c r="J90" s="134"/>
      <c r="K90" s="134"/>
      <c r="L90" s="130">
        <f t="shared" si="6"/>
        <v>0</v>
      </c>
      <c r="M90" s="134"/>
      <c r="N90" s="130">
        <f t="shared" si="3"/>
        <v>0</v>
      </c>
      <c r="O90" s="130"/>
      <c r="P90" s="130">
        <f t="shared" si="4"/>
        <v>0</v>
      </c>
      <c r="R90">
        <f t="shared" si="5"/>
        <v>0</v>
      </c>
    </row>
    <row r="91" spans="1:18" hidden="1" x14ac:dyDescent="0.25">
      <c r="A91" s="130"/>
      <c r="B91" s="130"/>
      <c r="C91" s="134"/>
      <c r="D91" s="130"/>
      <c r="E91" s="139"/>
      <c r="F91" s="130"/>
      <c r="G91" s="134"/>
      <c r="H91" s="134"/>
      <c r="I91" s="134"/>
      <c r="J91" s="134"/>
      <c r="K91" s="134"/>
      <c r="L91" s="134">
        <f>SUM(L74:L90)</f>
        <v>0</v>
      </c>
      <c r="M91" s="134"/>
      <c r="N91" s="134">
        <f>SUM(N74:N90)</f>
        <v>0</v>
      </c>
      <c r="O91" s="130"/>
      <c r="P91" s="134">
        <f>SUM(P74:P90)</f>
        <v>0</v>
      </c>
      <c r="R91" s="11">
        <f>SUM(R74:R90)</f>
        <v>0</v>
      </c>
    </row>
    <row r="92" spans="1:18" x14ac:dyDescent="0.25">
      <c r="A92" s="130"/>
      <c r="B92" s="130"/>
      <c r="C92" s="134"/>
      <c r="D92" s="130"/>
      <c r="E92" s="139"/>
      <c r="F92" s="130"/>
      <c r="G92" s="134"/>
      <c r="H92" s="134"/>
      <c r="I92" s="134"/>
      <c r="J92" s="134"/>
      <c r="K92" s="134"/>
      <c r="L92" s="134"/>
      <c r="M92" s="134"/>
      <c r="N92" s="130"/>
      <c r="O92" s="130"/>
      <c r="P92" s="130"/>
    </row>
    <row r="93" spans="1:18" x14ac:dyDescent="0.25">
      <c r="A93" s="130"/>
      <c r="B93" s="130"/>
      <c r="C93" s="134"/>
      <c r="D93" s="130"/>
      <c r="E93" s="139"/>
      <c r="F93" s="130"/>
      <c r="G93" s="134"/>
      <c r="H93" s="134"/>
      <c r="I93" s="134"/>
      <c r="J93" s="134"/>
      <c r="K93" s="134"/>
      <c r="L93" s="134"/>
      <c r="M93" s="134"/>
      <c r="N93" s="130"/>
      <c r="O93" s="130"/>
      <c r="P93" s="130"/>
    </row>
    <row r="94" spans="1:18" x14ac:dyDescent="0.25">
      <c r="A94" s="130"/>
      <c r="B94" s="130"/>
      <c r="C94" s="134"/>
      <c r="D94" s="130"/>
      <c r="E94" s="139"/>
      <c r="F94" s="130"/>
      <c r="G94" s="134"/>
      <c r="H94" s="134"/>
      <c r="I94" s="134"/>
      <c r="J94" s="134"/>
      <c r="K94" s="134"/>
      <c r="L94" s="134"/>
      <c r="M94" s="134"/>
      <c r="N94" s="130"/>
      <c r="O94" s="130"/>
      <c r="P94" s="130"/>
    </row>
    <row r="95" spans="1:18" x14ac:dyDescent="0.25">
      <c r="A95" s="130"/>
      <c r="B95" s="130"/>
      <c r="C95" s="134"/>
      <c r="D95" s="130"/>
      <c r="E95" s="139"/>
      <c r="F95" s="130"/>
      <c r="G95" s="134"/>
      <c r="H95" s="134"/>
      <c r="I95" s="134"/>
      <c r="J95" s="134"/>
      <c r="K95" s="134"/>
      <c r="L95" s="134"/>
      <c r="M95" s="134"/>
      <c r="N95" s="130"/>
      <c r="O95" s="130"/>
      <c r="P95" s="130"/>
    </row>
  </sheetData>
  <sheetProtection sheet="1" objects="1" scenarios="1" selectLockedCells="1"/>
  <mergeCells count="37">
    <mergeCell ref="A40:L40"/>
    <mergeCell ref="B31:D31"/>
    <mergeCell ref="F31:L37"/>
    <mergeCell ref="B33:D33"/>
    <mergeCell ref="B35:D35"/>
    <mergeCell ref="B37:D37"/>
    <mergeCell ref="B39:D39"/>
    <mergeCell ref="F39:J39"/>
    <mergeCell ref="B29:D29"/>
    <mergeCell ref="F29:L29"/>
    <mergeCell ref="B17:D17"/>
    <mergeCell ref="F17:L17"/>
    <mergeCell ref="B19:D19"/>
    <mergeCell ref="F19:L19"/>
    <mergeCell ref="B21:D21"/>
    <mergeCell ref="F21:L21"/>
    <mergeCell ref="B23:D23"/>
    <mergeCell ref="F23:L23"/>
    <mergeCell ref="D25:H25"/>
    <mergeCell ref="F27:H27"/>
    <mergeCell ref="J27:L27"/>
    <mergeCell ref="A1:M1"/>
    <mergeCell ref="A2:A39"/>
    <mergeCell ref="D2:H2"/>
    <mergeCell ref="M2:M40"/>
    <mergeCell ref="D4:F4"/>
    <mergeCell ref="H4:J4"/>
    <mergeCell ref="B7:D7"/>
    <mergeCell ref="F7:L7"/>
    <mergeCell ref="F9:H9"/>
    <mergeCell ref="J9:L9"/>
    <mergeCell ref="F11:H11"/>
    <mergeCell ref="J11:L11"/>
    <mergeCell ref="F13:H13"/>
    <mergeCell ref="J13:L13"/>
    <mergeCell ref="B15:D15"/>
    <mergeCell ref="F15:L15"/>
  </mergeCells>
  <dataValidations count="9">
    <dataValidation type="list" allowBlank="1" showInputMessage="1" showErrorMessage="1" sqref="L26 J27:L27">
      <formula1>HD</formula1>
    </dataValidation>
    <dataValidation type="list" allowBlank="1" showInputMessage="1" showErrorMessage="1" sqref="L25">
      <formula1>CR</formula1>
    </dataValidation>
    <dataValidation type="list" allowBlank="1" showInputMessage="1" showErrorMessage="1" sqref="D4">
      <formula1>Size</formula1>
    </dataValidation>
    <dataValidation type="list" allowBlank="1" showInputMessage="1" showErrorMessage="1" sqref="F17:L17 F21:L21 F19:L19 F23:L23">
      <formula1>Resources</formula1>
    </dataValidation>
    <dataValidation type="list" allowBlank="1" showInputMessage="1" showErrorMessage="1" sqref="B31:D31 B33:D33 B35:D35 B37:D37 B39:D39">
      <formula1>Abilities</formula1>
    </dataValidation>
    <dataValidation type="list" allowBlank="1" showInputMessage="1" showErrorMessage="1" sqref="L4">
      <formula1>Active</formula1>
    </dataValidation>
    <dataValidation type="list" allowBlank="1" showInputMessage="1" showErrorMessage="1" sqref="B17:D17 B19:D19 B21:D21 B23:D23">
      <formula1>Tactics</formula1>
    </dataValidation>
    <dataValidation type="list" allowBlank="1" showInputMessage="1" showErrorMessage="1" sqref="L39">
      <formula1>CHA</formula1>
    </dataValidation>
    <dataValidation type="list" allowBlank="1" showInputMessage="1" showErrorMessage="1" sqref="J13:L13">
      <formula1>Morale</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95"/>
  <sheetViews>
    <sheetView workbookViewId="0">
      <selection activeCell="B23" sqref="B23:D23"/>
    </sheetView>
  </sheetViews>
  <sheetFormatPr defaultRowHeight="15" x14ac:dyDescent="0.25"/>
  <cols>
    <col min="1" max="1" width="0.85546875" customWidth="1"/>
    <col min="2" max="2" width="18.7109375" customWidth="1"/>
    <col min="3" max="3" width="0.85546875" style="11" customWidth="1"/>
    <col min="4" max="4" width="10.7109375" customWidth="1"/>
    <col min="5" max="5" width="0.85546875" style="5" customWidth="1"/>
    <col min="6" max="6" width="8.28515625" customWidth="1"/>
    <col min="7" max="7" width="0.85546875" style="11" customWidth="1"/>
    <col min="8" max="8" width="10.7109375" style="11" customWidth="1"/>
    <col min="9" max="9" width="0.85546875" style="11" customWidth="1"/>
    <col min="10" max="10" width="4.7109375" style="11" customWidth="1"/>
    <col min="11" max="11" width="0.85546875" style="11" customWidth="1"/>
    <col min="12" max="12" width="5.7109375" style="11" customWidth="1"/>
    <col min="13" max="13" width="0.85546875" style="11" customWidth="1"/>
    <col min="15" max="15" width="0.85546875" customWidth="1"/>
    <col min="17" max="17" width="0.85546875" customWidth="1"/>
  </cols>
  <sheetData>
    <row r="1" spans="1:16" ht="5.0999999999999996" customHeight="1" thickBot="1" x14ac:dyDescent="0.3">
      <c r="A1" s="500"/>
      <c r="B1" s="501"/>
      <c r="C1" s="501"/>
      <c r="D1" s="501"/>
      <c r="E1" s="501"/>
      <c r="F1" s="501"/>
      <c r="G1" s="501"/>
      <c r="H1" s="501"/>
      <c r="I1" s="501"/>
      <c r="J1" s="501"/>
      <c r="K1" s="501"/>
      <c r="L1" s="501"/>
      <c r="M1" s="502"/>
      <c r="N1" s="130"/>
      <c r="O1" s="130"/>
      <c r="P1" s="130"/>
    </row>
    <row r="2" spans="1:16" ht="15.75" thickBot="1" x14ac:dyDescent="0.3">
      <c r="A2" s="480"/>
      <c r="B2" s="131" t="s">
        <v>83</v>
      </c>
      <c r="C2" s="132"/>
      <c r="D2" s="455"/>
      <c r="E2" s="372"/>
      <c r="F2" s="372"/>
      <c r="G2" s="372"/>
      <c r="H2" s="373"/>
      <c r="I2" s="111"/>
      <c r="J2" s="131" t="s">
        <v>187</v>
      </c>
      <c r="K2" s="97"/>
      <c r="L2" s="152">
        <f>IF(D4="Fine",(L25-8),(IF(D4="Dimunitive",(L25-6),(IF(D4="Tiny",(L25-4),(IF(D4="Small",(L25-2),(IF(D4="Medium",(L25),(IF(D4="Large",(L25+2),(IF(D4="Huge",(L25+4),(IF(D4="Gargantuan",(L25+6),(IF(D4="Colossal",(L25+8),0)))))))))))))))))</f>
        <v>0</v>
      </c>
      <c r="M2" s="497"/>
      <c r="N2" s="130"/>
      <c r="O2" s="130"/>
      <c r="P2" s="130"/>
    </row>
    <row r="3" spans="1:16" s="1" customFormat="1" ht="3" customHeight="1" thickBot="1" x14ac:dyDescent="0.3">
      <c r="A3" s="495"/>
      <c r="B3" s="132"/>
      <c r="C3" s="132"/>
      <c r="D3" s="133"/>
      <c r="E3" s="134"/>
      <c r="F3" s="132"/>
      <c r="G3" s="132"/>
      <c r="H3" s="132"/>
      <c r="I3" s="132"/>
      <c r="J3" s="132"/>
      <c r="K3" s="132"/>
      <c r="L3" s="134"/>
      <c r="M3" s="498"/>
      <c r="N3" s="135"/>
      <c r="O3" s="135"/>
      <c r="P3" s="135"/>
    </row>
    <row r="4" spans="1:16" ht="15.75" thickBot="1" x14ac:dyDescent="0.3">
      <c r="A4" s="495"/>
      <c r="B4" s="131" t="s">
        <v>43</v>
      </c>
      <c r="C4" s="132"/>
      <c r="D4" s="455"/>
      <c r="E4" s="372"/>
      <c r="F4" s="372"/>
      <c r="G4" s="136"/>
      <c r="H4" s="496" t="s">
        <v>255</v>
      </c>
      <c r="I4" s="495"/>
      <c r="J4" s="495"/>
      <c r="K4" s="134"/>
      <c r="L4" s="129"/>
      <c r="M4" s="498"/>
      <c r="N4" s="130"/>
      <c r="O4" s="130"/>
      <c r="P4" s="130"/>
    </row>
    <row r="5" spans="1:16" s="1" customFormat="1" ht="3" customHeight="1" x14ac:dyDescent="0.25">
      <c r="A5" s="495"/>
      <c r="B5" s="132"/>
      <c r="C5" s="132"/>
      <c r="D5" s="137"/>
      <c r="E5" s="137"/>
      <c r="F5" s="134"/>
      <c r="G5" s="134"/>
      <c r="H5" s="134"/>
      <c r="I5" s="134"/>
      <c r="J5" s="134"/>
      <c r="K5" s="134"/>
      <c r="L5" s="134"/>
      <c r="M5" s="498"/>
      <c r="N5" s="135"/>
      <c r="O5" s="135"/>
      <c r="P5" s="135"/>
    </row>
    <row r="6" spans="1:16" s="1" customFormat="1" ht="3" customHeight="1" x14ac:dyDescent="0.25">
      <c r="A6" s="495"/>
      <c r="B6" s="132"/>
      <c r="C6" s="132"/>
      <c r="D6" s="137"/>
      <c r="E6" s="137"/>
      <c r="F6" s="134"/>
      <c r="G6" s="134"/>
      <c r="H6" s="134"/>
      <c r="I6" s="134"/>
      <c r="J6" s="134"/>
      <c r="K6" s="134"/>
      <c r="L6" s="134"/>
      <c r="M6" s="498"/>
      <c r="N6" s="135"/>
      <c r="O6" s="135"/>
      <c r="P6" s="135"/>
    </row>
    <row r="7" spans="1:16" x14ac:dyDescent="0.25">
      <c r="A7" s="495"/>
      <c r="B7" s="408" t="s">
        <v>182</v>
      </c>
      <c r="C7" s="480"/>
      <c r="D7" s="480"/>
      <c r="E7" s="138"/>
      <c r="F7" s="408" t="s">
        <v>183</v>
      </c>
      <c r="G7" s="480"/>
      <c r="H7" s="480"/>
      <c r="I7" s="480"/>
      <c r="J7" s="480"/>
      <c r="K7" s="480"/>
      <c r="L7" s="480"/>
      <c r="M7" s="498"/>
      <c r="N7" s="130"/>
      <c r="O7" s="130"/>
      <c r="P7" s="130"/>
    </row>
    <row r="8" spans="1:16" ht="3" customHeight="1" thickBot="1" x14ac:dyDescent="0.3">
      <c r="A8" s="495"/>
      <c r="B8" s="139"/>
      <c r="C8" s="134"/>
      <c r="D8" s="139"/>
      <c r="E8" s="139"/>
      <c r="F8" s="139"/>
      <c r="G8" s="134"/>
      <c r="H8" s="134"/>
      <c r="I8" s="134"/>
      <c r="J8" s="134"/>
      <c r="K8" s="134"/>
      <c r="L8" s="134"/>
      <c r="M8" s="498"/>
      <c r="N8" s="130"/>
      <c r="O8" s="130"/>
      <c r="P8" s="130"/>
    </row>
    <row r="9" spans="1:16" ht="15.75" thickBot="1" x14ac:dyDescent="0.3">
      <c r="A9" s="495"/>
      <c r="B9" s="112" t="s">
        <v>185</v>
      </c>
      <c r="C9" s="140"/>
      <c r="D9" s="60">
        <f>ROUNDDOWN((L2*((J27+1)/2)),0)</f>
        <v>0</v>
      </c>
      <c r="E9" s="138"/>
      <c r="F9" s="479" t="s">
        <v>184</v>
      </c>
      <c r="G9" s="480"/>
      <c r="H9" s="480"/>
      <c r="I9" s="138"/>
      <c r="J9" s="391">
        <f>ROUNDDOWN(D27/15,0)</f>
        <v>0</v>
      </c>
      <c r="K9" s="392"/>
      <c r="L9" s="393"/>
      <c r="M9" s="498"/>
      <c r="N9" s="130"/>
      <c r="O9" s="130"/>
      <c r="P9" s="130"/>
    </row>
    <row r="10" spans="1:16" ht="3" customHeight="1" thickBot="1" x14ac:dyDescent="0.3">
      <c r="A10" s="495"/>
      <c r="B10" s="111"/>
      <c r="C10" s="134"/>
      <c r="D10" s="139"/>
      <c r="E10" s="139"/>
      <c r="F10" s="139"/>
      <c r="G10" s="134"/>
      <c r="H10" s="111"/>
      <c r="I10" s="134"/>
      <c r="J10" s="137"/>
      <c r="K10" s="137"/>
      <c r="L10" s="137"/>
      <c r="M10" s="498"/>
      <c r="N10" s="130"/>
      <c r="O10" s="130"/>
      <c r="P10" s="130"/>
    </row>
    <row r="11" spans="1:16" ht="15.75" thickBot="1" x14ac:dyDescent="0.3">
      <c r="A11" s="495"/>
      <c r="B11" s="112" t="s">
        <v>193</v>
      </c>
      <c r="C11" s="140"/>
      <c r="D11" s="60">
        <f>L2+L57+L72+L91</f>
        <v>0</v>
      </c>
      <c r="E11" s="138"/>
      <c r="F11" s="479" t="s">
        <v>63</v>
      </c>
      <c r="G11" s="480"/>
      <c r="H11" s="480"/>
      <c r="I11" s="138"/>
      <c r="J11" s="391">
        <f>IF(L2=0,0,IF(((L2/2)+R57+R72+R91)&lt;1,1,ROUNDUP(((L2/2)+R57+R72+R91),0)))</f>
        <v>0</v>
      </c>
      <c r="K11" s="392"/>
      <c r="L11" s="393"/>
      <c r="M11" s="498"/>
      <c r="N11" s="130"/>
      <c r="O11" s="130"/>
      <c r="P11" s="130"/>
    </row>
    <row r="12" spans="1:16" ht="3" customHeight="1" thickBot="1" x14ac:dyDescent="0.3">
      <c r="A12" s="495"/>
      <c r="B12" s="111"/>
      <c r="C12" s="134"/>
      <c r="D12" s="139"/>
      <c r="E12" s="139"/>
      <c r="F12" s="139"/>
      <c r="G12" s="134"/>
      <c r="H12" s="111"/>
      <c r="I12" s="134"/>
      <c r="J12" s="137"/>
      <c r="K12" s="137"/>
      <c r="L12" s="137"/>
      <c r="M12" s="498"/>
      <c r="N12" s="130"/>
      <c r="O12" s="130"/>
      <c r="P12" s="130"/>
    </row>
    <row r="13" spans="1:16" ht="15.75" thickBot="1" x14ac:dyDescent="0.3">
      <c r="A13" s="495"/>
      <c r="B13" s="112" t="s">
        <v>194</v>
      </c>
      <c r="C13" s="140"/>
      <c r="D13" s="60">
        <f>10+L2+N57+N72+N91</f>
        <v>10</v>
      </c>
      <c r="E13" s="138"/>
      <c r="F13" s="479" t="s">
        <v>269</v>
      </c>
      <c r="G13" s="480"/>
      <c r="H13" s="480"/>
      <c r="I13" s="138"/>
      <c r="J13" s="505"/>
      <c r="K13" s="506"/>
      <c r="L13" s="507"/>
      <c r="M13" s="498"/>
      <c r="N13" s="130"/>
      <c r="O13" s="130"/>
      <c r="P13" s="130"/>
    </row>
    <row r="14" spans="1:16" ht="3" customHeight="1" x14ac:dyDescent="0.25">
      <c r="A14" s="495"/>
      <c r="B14" s="139"/>
      <c r="C14" s="134"/>
      <c r="D14" s="139"/>
      <c r="E14" s="139"/>
      <c r="F14" s="139"/>
      <c r="G14" s="134"/>
      <c r="H14" s="134"/>
      <c r="I14" s="134"/>
      <c r="J14" s="134"/>
      <c r="K14" s="134"/>
      <c r="L14" s="134"/>
      <c r="M14" s="498"/>
      <c r="N14" s="130"/>
      <c r="O14" s="130"/>
      <c r="P14" s="130"/>
    </row>
    <row r="15" spans="1:16" x14ac:dyDescent="0.25">
      <c r="A15" s="495"/>
      <c r="B15" s="408" t="s">
        <v>186</v>
      </c>
      <c r="C15" s="480"/>
      <c r="D15" s="480"/>
      <c r="E15" s="138"/>
      <c r="F15" s="408" t="s">
        <v>56</v>
      </c>
      <c r="G15" s="480"/>
      <c r="H15" s="480"/>
      <c r="I15" s="480"/>
      <c r="J15" s="480"/>
      <c r="K15" s="480"/>
      <c r="L15" s="480"/>
      <c r="M15" s="498"/>
      <c r="N15" s="130"/>
      <c r="O15" s="130"/>
      <c r="P15" s="130"/>
    </row>
    <row r="16" spans="1:16" s="5" customFormat="1" ht="3" customHeight="1" thickBot="1" x14ac:dyDescent="0.3">
      <c r="A16" s="495"/>
      <c r="B16" s="141"/>
      <c r="C16" s="141"/>
      <c r="D16" s="141"/>
      <c r="E16" s="141"/>
      <c r="F16" s="141"/>
      <c r="G16" s="141"/>
      <c r="H16" s="141"/>
      <c r="I16" s="141"/>
      <c r="J16" s="141"/>
      <c r="K16" s="141"/>
      <c r="L16" s="141"/>
      <c r="M16" s="498"/>
      <c r="N16" s="139"/>
      <c r="O16" s="139"/>
      <c r="P16" s="139"/>
    </row>
    <row r="17" spans="1:16" s="5" customFormat="1" ht="15.75" thickBot="1" x14ac:dyDescent="0.3">
      <c r="A17" s="495"/>
      <c r="B17" s="481"/>
      <c r="C17" s="482"/>
      <c r="D17" s="483"/>
      <c r="E17" s="141"/>
      <c r="F17" s="481"/>
      <c r="G17" s="482"/>
      <c r="H17" s="482"/>
      <c r="I17" s="482"/>
      <c r="J17" s="482"/>
      <c r="K17" s="482"/>
      <c r="L17" s="483"/>
      <c r="M17" s="498"/>
      <c r="N17" s="139"/>
      <c r="O17" s="139"/>
      <c r="P17" s="139"/>
    </row>
    <row r="18" spans="1:16" s="5" customFormat="1" ht="3" customHeight="1" thickBot="1" x14ac:dyDescent="0.3">
      <c r="A18" s="495"/>
      <c r="B18" s="141"/>
      <c r="C18" s="141"/>
      <c r="D18" s="141"/>
      <c r="E18" s="141"/>
      <c r="F18" s="141"/>
      <c r="G18" s="141"/>
      <c r="H18" s="141"/>
      <c r="I18" s="141"/>
      <c r="J18" s="141"/>
      <c r="K18" s="141"/>
      <c r="L18" s="141"/>
      <c r="M18" s="498"/>
      <c r="N18" s="139"/>
      <c r="O18" s="139"/>
      <c r="P18" s="139"/>
    </row>
    <row r="19" spans="1:16" s="5" customFormat="1" ht="15.75" thickBot="1" x14ac:dyDescent="0.3">
      <c r="A19" s="495"/>
      <c r="B19" s="476"/>
      <c r="C19" s="477"/>
      <c r="D19" s="478"/>
      <c r="E19" s="141"/>
      <c r="F19" s="481"/>
      <c r="G19" s="482"/>
      <c r="H19" s="482"/>
      <c r="I19" s="482"/>
      <c r="J19" s="482"/>
      <c r="K19" s="482"/>
      <c r="L19" s="483"/>
      <c r="M19" s="498"/>
      <c r="N19" s="139"/>
      <c r="O19" s="139"/>
      <c r="P19" s="139"/>
    </row>
    <row r="20" spans="1:16" s="5" customFormat="1" ht="3" customHeight="1" thickBot="1" x14ac:dyDescent="0.3">
      <c r="A20" s="495"/>
      <c r="B20" s="141"/>
      <c r="C20" s="141"/>
      <c r="D20" s="141"/>
      <c r="E20" s="141"/>
      <c r="F20" s="141"/>
      <c r="G20" s="141"/>
      <c r="H20" s="141"/>
      <c r="I20" s="141"/>
      <c r="J20" s="141"/>
      <c r="K20" s="141"/>
      <c r="L20" s="141"/>
      <c r="M20" s="498"/>
      <c r="N20" s="139"/>
      <c r="O20" s="139"/>
      <c r="P20" s="139"/>
    </row>
    <row r="21" spans="1:16" s="5" customFormat="1" ht="15.75" thickBot="1" x14ac:dyDescent="0.3">
      <c r="A21" s="495"/>
      <c r="B21" s="476"/>
      <c r="C21" s="477"/>
      <c r="D21" s="478"/>
      <c r="E21" s="141"/>
      <c r="F21" s="481"/>
      <c r="G21" s="482"/>
      <c r="H21" s="482"/>
      <c r="I21" s="482"/>
      <c r="J21" s="482"/>
      <c r="K21" s="482"/>
      <c r="L21" s="483"/>
      <c r="M21" s="498"/>
      <c r="N21" s="139"/>
      <c r="O21" s="139"/>
      <c r="P21" s="139"/>
    </row>
    <row r="22" spans="1:16" s="5" customFormat="1" ht="3" customHeight="1" thickBot="1" x14ac:dyDescent="0.3">
      <c r="A22" s="495"/>
      <c r="B22" s="141"/>
      <c r="C22" s="141"/>
      <c r="D22" s="141"/>
      <c r="E22" s="141"/>
      <c r="F22" s="141"/>
      <c r="G22" s="141"/>
      <c r="H22" s="141"/>
      <c r="I22" s="141"/>
      <c r="J22" s="141"/>
      <c r="K22" s="141"/>
      <c r="L22" s="141"/>
      <c r="M22" s="498"/>
      <c r="N22" s="139"/>
      <c r="O22" s="139"/>
      <c r="P22" s="139"/>
    </row>
    <row r="23" spans="1:16" s="5" customFormat="1" ht="15.75" thickBot="1" x14ac:dyDescent="0.3">
      <c r="A23" s="495"/>
      <c r="B23" s="476"/>
      <c r="C23" s="477"/>
      <c r="D23" s="478"/>
      <c r="E23" s="141"/>
      <c r="F23" s="481"/>
      <c r="G23" s="482"/>
      <c r="H23" s="482"/>
      <c r="I23" s="482"/>
      <c r="J23" s="482"/>
      <c r="K23" s="482"/>
      <c r="L23" s="483"/>
      <c r="M23" s="498"/>
      <c r="N23" s="139"/>
      <c r="O23" s="139"/>
      <c r="P23" s="139"/>
    </row>
    <row r="24" spans="1:16" ht="3" customHeight="1" thickBot="1" x14ac:dyDescent="0.3">
      <c r="A24" s="495"/>
      <c r="B24" s="142"/>
      <c r="C24" s="143"/>
      <c r="D24" s="142"/>
      <c r="E24" s="142"/>
      <c r="F24" s="142"/>
      <c r="G24" s="143"/>
      <c r="H24" s="143"/>
      <c r="I24" s="134"/>
      <c r="J24" s="143"/>
      <c r="K24" s="134"/>
      <c r="L24" s="143"/>
      <c r="M24" s="498"/>
      <c r="N24" s="130"/>
      <c r="O24" s="130"/>
      <c r="P24" s="130"/>
    </row>
    <row r="25" spans="1:16" ht="15.75" thickBot="1" x14ac:dyDescent="0.3">
      <c r="A25" s="495"/>
      <c r="B25" s="131" t="s">
        <v>191</v>
      </c>
      <c r="C25" s="132"/>
      <c r="D25" s="455"/>
      <c r="E25" s="372"/>
      <c r="F25" s="372"/>
      <c r="G25" s="372"/>
      <c r="H25" s="373"/>
      <c r="I25" s="144"/>
      <c r="J25" s="131" t="s">
        <v>187</v>
      </c>
      <c r="K25" s="144"/>
      <c r="L25" s="102"/>
      <c r="M25" s="498"/>
      <c r="N25" s="130"/>
      <c r="O25" s="130"/>
      <c r="P25" s="130"/>
    </row>
    <row r="26" spans="1:16" ht="3" customHeight="1" thickBot="1" x14ac:dyDescent="0.3">
      <c r="A26" s="495"/>
      <c r="B26" s="139"/>
      <c r="C26" s="134"/>
      <c r="D26" s="139"/>
      <c r="E26" s="138"/>
      <c r="F26" s="139"/>
      <c r="G26" s="134"/>
      <c r="H26" s="134"/>
      <c r="I26" s="134"/>
      <c r="J26" s="145" t="s">
        <v>192</v>
      </c>
      <c r="K26" s="144"/>
      <c r="L26" s="146"/>
      <c r="M26" s="498"/>
      <c r="N26" s="130"/>
      <c r="O26" s="130"/>
      <c r="P26" s="130"/>
    </row>
    <row r="27" spans="1:16" ht="15.75" thickBot="1" x14ac:dyDescent="0.3">
      <c r="A27" s="495"/>
      <c r="B27" s="112" t="s">
        <v>184</v>
      </c>
      <c r="C27" s="140"/>
      <c r="D27" s="57"/>
      <c r="E27" s="138"/>
      <c r="F27" s="479" t="s">
        <v>205</v>
      </c>
      <c r="G27" s="480"/>
      <c r="H27" s="480"/>
      <c r="I27" s="138"/>
      <c r="J27" s="371"/>
      <c r="K27" s="372"/>
      <c r="L27" s="373"/>
      <c r="M27" s="498"/>
      <c r="N27" s="130"/>
      <c r="O27" s="130"/>
      <c r="P27" s="130"/>
    </row>
    <row r="28" spans="1:16" s="5" customFormat="1" ht="3" customHeight="1" x14ac:dyDescent="0.25">
      <c r="A28" s="495"/>
      <c r="B28" s="141"/>
      <c r="C28" s="141"/>
      <c r="D28" s="141">
        <v>50</v>
      </c>
      <c r="E28" s="141"/>
      <c r="F28" s="141"/>
      <c r="G28" s="141"/>
      <c r="H28" s="141"/>
      <c r="I28" s="141"/>
      <c r="J28" s="141"/>
      <c r="K28" s="141"/>
      <c r="L28" s="141"/>
      <c r="M28" s="498"/>
      <c r="N28" s="139"/>
      <c r="O28" s="139"/>
      <c r="P28" s="139"/>
    </row>
    <row r="29" spans="1:16" x14ac:dyDescent="0.25">
      <c r="A29" s="495"/>
      <c r="B29" s="408" t="s">
        <v>189</v>
      </c>
      <c r="C29" s="480"/>
      <c r="D29" s="480"/>
      <c r="E29" s="138"/>
      <c r="F29" s="408" t="s">
        <v>190</v>
      </c>
      <c r="G29" s="480"/>
      <c r="H29" s="480"/>
      <c r="I29" s="480"/>
      <c r="J29" s="480"/>
      <c r="K29" s="480"/>
      <c r="L29" s="480"/>
      <c r="M29" s="498"/>
      <c r="N29" s="130"/>
      <c r="O29" s="130"/>
      <c r="P29" s="130"/>
    </row>
    <row r="30" spans="1:16" s="5" customFormat="1" ht="3" customHeight="1" thickBot="1" x14ac:dyDescent="0.3">
      <c r="A30" s="495"/>
      <c r="B30" s="141"/>
      <c r="C30" s="141"/>
      <c r="D30" s="141"/>
      <c r="E30" s="141"/>
      <c r="F30" s="141"/>
      <c r="G30" s="141"/>
      <c r="H30" s="141"/>
      <c r="I30" s="141"/>
      <c r="J30" s="141"/>
      <c r="K30" s="141"/>
      <c r="L30" s="141"/>
      <c r="M30" s="498"/>
      <c r="N30" s="139"/>
      <c r="O30" s="139"/>
      <c r="P30" s="139"/>
    </row>
    <row r="31" spans="1:16" s="5" customFormat="1" ht="15.75" thickBot="1" x14ac:dyDescent="0.3">
      <c r="A31" s="495"/>
      <c r="B31" s="481"/>
      <c r="C31" s="482"/>
      <c r="D31" s="483"/>
      <c r="E31" s="141"/>
      <c r="F31" s="484"/>
      <c r="G31" s="485"/>
      <c r="H31" s="485"/>
      <c r="I31" s="485"/>
      <c r="J31" s="485"/>
      <c r="K31" s="485"/>
      <c r="L31" s="486"/>
      <c r="M31" s="498"/>
      <c r="N31" s="139"/>
      <c r="O31" s="139"/>
      <c r="P31" s="139"/>
    </row>
    <row r="32" spans="1:16" s="5" customFormat="1" ht="3" customHeight="1" thickBot="1" x14ac:dyDescent="0.3">
      <c r="A32" s="495"/>
      <c r="B32" s="141"/>
      <c r="C32" s="141"/>
      <c r="D32" s="141"/>
      <c r="E32" s="141"/>
      <c r="F32" s="487"/>
      <c r="G32" s="488"/>
      <c r="H32" s="488"/>
      <c r="I32" s="488"/>
      <c r="J32" s="488"/>
      <c r="K32" s="488"/>
      <c r="L32" s="489"/>
      <c r="M32" s="498"/>
      <c r="N32" s="139"/>
      <c r="O32" s="139"/>
      <c r="P32" s="139"/>
    </row>
    <row r="33" spans="1:18" s="5" customFormat="1" ht="15.75" thickBot="1" x14ac:dyDescent="0.3">
      <c r="A33" s="495"/>
      <c r="B33" s="481"/>
      <c r="C33" s="482"/>
      <c r="D33" s="483"/>
      <c r="E33" s="141"/>
      <c r="F33" s="487"/>
      <c r="G33" s="488"/>
      <c r="H33" s="488"/>
      <c r="I33" s="488"/>
      <c r="J33" s="488"/>
      <c r="K33" s="488"/>
      <c r="L33" s="489"/>
      <c r="M33" s="498"/>
      <c r="N33" s="139"/>
      <c r="O33" s="139"/>
      <c r="P33" s="139"/>
    </row>
    <row r="34" spans="1:18" s="5" customFormat="1" ht="3" customHeight="1" thickBot="1" x14ac:dyDescent="0.3">
      <c r="A34" s="495"/>
      <c r="B34" s="141"/>
      <c r="C34" s="141"/>
      <c r="D34" s="141"/>
      <c r="E34" s="141"/>
      <c r="F34" s="487"/>
      <c r="G34" s="488"/>
      <c r="H34" s="488"/>
      <c r="I34" s="488"/>
      <c r="J34" s="488"/>
      <c r="K34" s="488"/>
      <c r="L34" s="489"/>
      <c r="M34" s="498"/>
      <c r="N34" s="139"/>
      <c r="O34" s="139"/>
      <c r="P34" s="139"/>
    </row>
    <row r="35" spans="1:18" s="5" customFormat="1" ht="15.75" thickBot="1" x14ac:dyDescent="0.3">
      <c r="A35" s="495"/>
      <c r="B35" s="481"/>
      <c r="C35" s="482"/>
      <c r="D35" s="483"/>
      <c r="E35" s="141"/>
      <c r="F35" s="487"/>
      <c r="G35" s="488"/>
      <c r="H35" s="488"/>
      <c r="I35" s="488"/>
      <c r="J35" s="488"/>
      <c r="K35" s="488"/>
      <c r="L35" s="489"/>
      <c r="M35" s="498"/>
      <c r="N35" s="139"/>
      <c r="O35" s="139"/>
      <c r="P35" s="139"/>
    </row>
    <row r="36" spans="1:18" s="5" customFormat="1" ht="3" customHeight="1" thickBot="1" x14ac:dyDescent="0.3">
      <c r="A36" s="495"/>
      <c r="B36" s="147"/>
      <c r="C36" s="147"/>
      <c r="D36" s="147"/>
      <c r="E36" s="141"/>
      <c r="F36" s="487"/>
      <c r="G36" s="490"/>
      <c r="H36" s="490"/>
      <c r="I36" s="490"/>
      <c r="J36" s="490"/>
      <c r="K36" s="490"/>
      <c r="L36" s="489"/>
      <c r="M36" s="498"/>
      <c r="N36" s="139"/>
      <c r="O36" s="139"/>
      <c r="P36" s="139"/>
    </row>
    <row r="37" spans="1:18" s="5" customFormat="1" ht="15.75" thickBot="1" x14ac:dyDescent="0.3">
      <c r="A37" s="495"/>
      <c r="B37" s="481"/>
      <c r="C37" s="482"/>
      <c r="D37" s="483"/>
      <c r="E37" s="141"/>
      <c r="F37" s="491"/>
      <c r="G37" s="492"/>
      <c r="H37" s="492"/>
      <c r="I37" s="492"/>
      <c r="J37" s="492"/>
      <c r="K37" s="492"/>
      <c r="L37" s="493"/>
      <c r="M37" s="498"/>
      <c r="N37" s="139"/>
      <c r="O37" s="139"/>
      <c r="P37" s="139"/>
    </row>
    <row r="38" spans="1:18" s="5" customFormat="1" ht="3" customHeight="1" thickBot="1" x14ac:dyDescent="0.3">
      <c r="A38" s="495"/>
      <c r="B38" s="147"/>
      <c r="C38" s="147"/>
      <c r="D38" s="147"/>
      <c r="E38" s="141"/>
      <c r="F38" s="148"/>
      <c r="G38" s="148"/>
      <c r="H38" s="148"/>
      <c r="I38" s="148"/>
      <c r="J38" s="148"/>
      <c r="K38" s="148"/>
      <c r="L38" s="148"/>
      <c r="M38" s="498"/>
      <c r="N38" s="139"/>
      <c r="O38" s="139"/>
      <c r="P38" s="139"/>
    </row>
    <row r="39" spans="1:18" s="5" customFormat="1" ht="15.75" thickBot="1" x14ac:dyDescent="0.3">
      <c r="A39" s="495"/>
      <c r="B39" s="481"/>
      <c r="C39" s="482"/>
      <c r="D39" s="483"/>
      <c r="E39" s="141"/>
      <c r="F39" s="494" t="s">
        <v>256</v>
      </c>
      <c r="G39" s="495"/>
      <c r="H39" s="495"/>
      <c r="I39" s="495"/>
      <c r="J39" s="495"/>
      <c r="K39" s="148"/>
      <c r="L39" s="104"/>
      <c r="M39" s="498"/>
      <c r="N39" s="139"/>
      <c r="O39" s="139"/>
      <c r="P39" s="139"/>
    </row>
    <row r="40" spans="1:18" ht="3" customHeight="1" thickBot="1" x14ac:dyDescent="0.3">
      <c r="A40" s="503"/>
      <c r="B40" s="504"/>
      <c r="C40" s="504"/>
      <c r="D40" s="504"/>
      <c r="E40" s="504"/>
      <c r="F40" s="504"/>
      <c r="G40" s="504"/>
      <c r="H40" s="504"/>
      <c r="I40" s="504"/>
      <c r="J40" s="504"/>
      <c r="K40" s="504"/>
      <c r="L40" s="504"/>
      <c r="M40" s="499"/>
      <c r="N40" s="130"/>
      <c r="O40" s="130"/>
      <c r="P40" s="130"/>
    </row>
    <row r="41" spans="1:18" ht="3" hidden="1" customHeight="1" x14ac:dyDescent="0.25">
      <c r="A41" s="139"/>
      <c r="B41" s="139"/>
      <c r="C41" s="134"/>
      <c r="D41" s="139"/>
      <c r="E41" s="139"/>
      <c r="F41" s="139"/>
      <c r="G41" s="134"/>
      <c r="H41" s="134"/>
      <c r="I41" s="134"/>
      <c r="J41" s="134"/>
      <c r="K41" s="134"/>
      <c r="L41" s="134"/>
      <c r="M41" s="134"/>
      <c r="N41" s="130"/>
      <c r="O41" s="130"/>
      <c r="P41" s="130"/>
    </row>
    <row r="42" spans="1:18" ht="3" hidden="1" customHeight="1" x14ac:dyDescent="0.25">
      <c r="A42" s="139"/>
      <c r="B42" s="139"/>
      <c r="C42" s="134"/>
      <c r="D42" s="139"/>
      <c r="E42" s="139"/>
      <c r="F42" s="139"/>
      <c r="G42" s="134"/>
      <c r="H42" s="134"/>
      <c r="I42" s="134"/>
      <c r="J42" s="134"/>
      <c r="K42" s="134"/>
      <c r="L42" s="134"/>
      <c r="M42" s="134"/>
      <c r="N42" s="130"/>
      <c r="O42" s="130"/>
      <c r="P42" s="130"/>
    </row>
    <row r="43" spans="1:18" hidden="1" x14ac:dyDescent="0.25">
      <c r="A43" s="130"/>
      <c r="B43" s="130"/>
      <c r="C43" s="134"/>
      <c r="D43" s="130" t="s">
        <v>260</v>
      </c>
      <c r="E43" s="139"/>
      <c r="F43" s="130" t="s">
        <v>95</v>
      </c>
      <c r="G43" s="134"/>
      <c r="H43" s="134" t="s">
        <v>188</v>
      </c>
      <c r="I43" s="134"/>
      <c r="J43" s="134" t="s">
        <v>261</v>
      </c>
      <c r="K43" s="134"/>
      <c r="L43" s="130" t="s">
        <v>260</v>
      </c>
      <c r="M43" s="139"/>
      <c r="N43" s="130" t="s">
        <v>95</v>
      </c>
      <c r="O43" s="134"/>
      <c r="P43" s="134" t="s">
        <v>188</v>
      </c>
      <c r="Q43" s="11"/>
      <c r="R43" s="11" t="s">
        <v>261</v>
      </c>
    </row>
    <row r="44" spans="1:18" hidden="1" x14ac:dyDescent="0.25">
      <c r="A44" s="130"/>
      <c r="B44" s="149" t="s">
        <v>186</v>
      </c>
      <c r="C44" s="130"/>
      <c r="D44" s="130"/>
      <c r="E44" s="139"/>
      <c r="F44" s="130"/>
      <c r="G44" s="134"/>
      <c r="H44" s="134"/>
      <c r="I44" s="134"/>
      <c r="J44" s="134"/>
      <c r="K44" s="134"/>
      <c r="L44" s="130"/>
      <c r="M44" s="139"/>
      <c r="N44" s="130"/>
      <c r="O44" s="134"/>
      <c r="P44" s="134"/>
      <c r="Q44" s="11"/>
      <c r="R44" s="11"/>
    </row>
    <row r="45" spans="1:18" hidden="1" x14ac:dyDescent="0.25">
      <c r="A45" s="130"/>
      <c r="B45" s="150" t="s">
        <v>216</v>
      </c>
      <c r="C45" s="130"/>
      <c r="D45" s="130">
        <v>-2</v>
      </c>
      <c r="E45" s="139"/>
      <c r="F45" s="130"/>
      <c r="G45" s="134"/>
      <c r="H45" s="134">
        <v>2</v>
      </c>
      <c r="I45" s="134"/>
      <c r="J45" s="134"/>
      <c r="K45" s="134"/>
      <c r="L45" s="130">
        <f>IF($B$17=$B45,D45,0)</f>
        <v>0</v>
      </c>
      <c r="M45" s="139"/>
      <c r="N45" s="130">
        <f>IF($B$17=$B45,F45,0)</f>
        <v>0</v>
      </c>
      <c r="O45" s="134"/>
      <c r="P45" s="130">
        <f>IF($B$17=$B45,H45,0)</f>
        <v>0</v>
      </c>
      <c r="Q45" s="11"/>
      <c r="R45">
        <f>IF($B$17=$B45,J45,0)</f>
        <v>0</v>
      </c>
    </row>
    <row r="46" spans="1:18" hidden="1" x14ac:dyDescent="0.25">
      <c r="A46" s="130"/>
      <c r="B46" s="150" t="s">
        <v>217</v>
      </c>
      <c r="C46" s="130"/>
      <c r="D46" s="130"/>
      <c r="E46" s="139"/>
      <c r="F46" s="130"/>
      <c r="G46" s="134"/>
      <c r="H46" s="134"/>
      <c r="I46" s="134"/>
      <c r="J46" s="134"/>
      <c r="K46" s="134"/>
      <c r="L46" s="130">
        <f t="shared" ref="L46:L56" si="0">IF($B$17=B46,D46,0)</f>
        <v>0</v>
      </c>
      <c r="M46" s="139"/>
      <c r="N46" s="130">
        <f t="shared" ref="N46:R56" si="1">IF($B$17=$B46,F46,0)</f>
        <v>0</v>
      </c>
      <c r="O46" s="134"/>
      <c r="P46" s="130">
        <f t="shared" si="1"/>
        <v>0</v>
      </c>
      <c r="Q46" s="11"/>
      <c r="R46">
        <f t="shared" si="1"/>
        <v>0</v>
      </c>
    </row>
    <row r="47" spans="1:18" hidden="1" x14ac:dyDescent="0.25">
      <c r="A47" s="130"/>
      <c r="B47" s="150" t="s">
        <v>218</v>
      </c>
      <c r="C47" s="130"/>
      <c r="D47" s="130">
        <v>-2</v>
      </c>
      <c r="E47" s="139"/>
      <c r="F47" s="130">
        <v>2</v>
      </c>
      <c r="G47" s="134"/>
      <c r="H47" s="134"/>
      <c r="I47" s="134"/>
      <c r="J47" s="134"/>
      <c r="K47" s="134"/>
      <c r="L47" s="130">
        <f t="shared" si="0"/>
        <v>0</v>
      </c>
      <c r="M47" s="139"/>
      <c r="N47" s="130">
        <f t="shared" si="1"/>
        <v>0</v>
      </c>
      <c r="O47" s="134"/>
      <c r="P47" s="130">
        <f t="shared" si="1"/>
        <v>0</v>
      </c>
      <c r="Q47" s="11"/>
      <c r="R47">
        <f t="shared" si="1"/>
        <v>0</v>
      </c>
    </row>
    <row r="48" spans="1:18" hidden="1" x14ac:dyDescent="0.25">
      <c r="A48" s="130"/>
      <c r="B48" s="150" t="s">
        <v>219</v>
      </c>
      <c r="C48" s="130"/>
      <c r="D48" s="130"/>
      <c r="E48" s="139"/>
      <c r="F48" s="130"/>
      <c r="G48" s="134"/>
      <c r="H48" s="134"/>
      <c r="I48" s="134"/>
      <c r="J48" s="134"/>
      <c r="K48" s="134"/>
      <c r="L48" s="130">
        <f t="shared" si="0"/>
        <v>0</v>
      </c>
      <c r="M48" s="139"/>
      <c r="N48" s="130">
        <f t="shared" si="1"/>
        <v>0</v>
      </c>
      <c r="O48" s="134"/>
      <c r="P48" s="130">
        <f t="shared" si="1"/>
        <v>0</v>
      </c>
      <c r="Q48" s="11"/>
      <c r="R48">
        <f t="shared" si="1"/>
        <v>0</v>
      </c>
    </row>
    <row r="49" spans="1:18" hidden="1" x14ac:dyDescent="0.25">
      <c r="A49" s="130"/>
      <c r="B49" s="150" t="s">
        <v>220</v>
      </c>
      <c r="C49" s="130"/>
      <c r="D49" s="130">
        <v>2</v>
      </c>
      <c r="E49" s="139"/>
      <c r="F49" s="130">
        <v>-2</v>
      </c>
      <c r="G49" s="134"/>
      <c r="H49" s="134"/>
      <c r="I49" s="134"/>
      <c r="J49" s="134"/>
      <c r="K49" s="134"/>
      <c r="L49" s="130">
        <f t="shared" si="0"/>
        <v>0</v>
      </c>
      <c r="M49" s="139"/>
      <c r="N49" s="130">
        <f t="shared" si="1"/>
        <v>0</v>
      </c>
      <c r="O49" s="134"/>
      <c r="P49" s="130">
        <f t="shared" si="1"/>
        <v>0</v>
      </c>
      <c r="Q49" s="11"/>
      <c r="R49">
        <f t="shared" si="1"/>
        <v>0</v>
      </c>
    </row>
    <row r="50" spans="1:18" hidden="1" x14ac:dyDescent="0.25">
      <c r="A50" s="130"/>
      <c r="B50" s="150" t="s">
        <v>221</v>
      </c>
      <c r="C50" s="130"/>
      <c r="D50" s="130"/>
      <c r="E50" s="139"/>
      <c r="F50" s="130"/>
      <c r="G50" s="134"/>
      <c r="H50" s="134"/>
      <c r="I50" s="134"/>
      <c r="J50" s="134"/>
      <c r="K50" s="134"/>
      <c r="L50" s="130">
        <f t="shared" si="0"/>
        <v>0</v>
      </c>
      <c r="M50" s="139"/>
      <c r="N50" s="130">
        <f t="shared" si="1"/>
        <v>0</v>
      </c>
      <c r="O50" s="134"/>
      <c r="P50" s="130">
        <f t="shared" si="1"/>
        <v>0</v>
      </c>
      <c r="Q50" s="11"/>
      <c r="R50">
        <f t="shared" si="1"/>
        <v>0</v>
      </c>
    </row>
    <row r="51" spans="1:18" hidden="1" x14ac:dyDescent="0.25">
      <c r="A51" s="130"/>
      <c r="B51" s="150" t="s">
        <v>222</v>
      </c>
      <c r="C51" s="130"/>
      <c r="D51" s="130">
        <v>-4</v>
      </c>
      <c r="E51" s="139"/>
      <c r="F51" s="130">
        <v>4</v>
      </c>
      <c r="G51" s="134"/>
      <c r="H51" s="134"/>
      <c r="I51" s="134"/>
      <c r="J51" s="134"/>
      <c r="K51" s="134"/>
      <c r="L51" s="130">
        <f t="shared" si="0"/>
        <v>0</v>
      </c>
      <c r="M51" s="139"/>
      <c r="N51" s="130">
        <f t="shared" si="1"/>
        <v>0</v>
      </c>
      <c r="O51" s="134"/>
      <c r="P51" s="130">
        <f t="shared" si="1"/>
        <v>0</v>
      </c>
      <c r="Q51" s="11"/>
      <c r="R51">
        <f t="shared" si="1"/>
        <v>0</v>
      </c>
    </row>
    <row r="52" spans="1:18" hidden="1" x14ac:dyDescent="0.25">
      <c r="A52" s="130"/>
      <c r="B52" s="150" t="s">
        <v>223</v>
      </c>
      <c r="C52" s="130"/>
      <c r="D52" s="130">
        <v>4</v>
      </c>
      <c r="E52" s="139"/>
      <c r="F52" s="130">
        <v>-4</v>
      </c>
      <c r="G52" s="134"/>
      <c r="H52" s="134"/>
      <c r="I52" s="134"/>
      <c r="J52" s="134"/>
      <c r="K52" s="134"/>
      <c r="L52" s="130">
        <f t="shared" si="0"/>
        <v>0</v>
      </c>
      <c r="M52" s="139"/>
      <c r="N52" s="130">
        <f t="shared" si="1"/>
        <v>0</v>
      </c>
      <c r="O52" s="134"/>
      <c r="P52" s="130">
        <f t="shared" si="1"/>
        <v>0</v>
      </c>
      <c r="Q52" s="11"/>
      <c r="R52">
        <f t="shared" si="1"/>
        <v>0</v>
      </c>
    </row>
    <row r="53" spans="1:18" hidden="1" x14ac:dyDescent="0.25">
      <c r="A53" s="130"/>
      <c r="B53" s="150" t="s">
        <v>262</v>
      </c>
      <c r="C53" s="130"/>
      <c r="D53" s="130"/>
      <c r="E53" s="139"/>
      <c r="F53" s="130"/>
      <c r="G53" s="134"/>
      <c r="H53" s="134"/>
      <c r="I53" s="134"/>
      <c r="J53" s="134"/>
      <c r="K53" s="134"/>
      <c r="L53" s="130">
        <f t="shared" si="0"/>
        <v>0</v>
      </c>
      <c r="M53" s="134"/>
      <c r="N53" s="130">
        <f t="shared" si="1"/>
        <v>0</v>
      </c>
      <c r="O53" s="130"/>
      <c r="P53" s="130">
        <f t="shared" si="1"/>
        <v>0</v>
      </c>
      <c r="R53">
        <f t="shared" si="1"/>
        <v>0</v>
      </c>
    </row>
    <row r="54" spans="1:18" hidden="1" x14ac:dyDescent="0.25">
      <c r="A54" s="130"/>
      <c r="B54" s="150" t="s">
        <v>225</v>
      </c>
      <c r="C54" s="130"/>
      <c r="D54" s="130"/>
      <c r="E54" s="139"/>
      <c r="F54" s="130"/>
      <c r="G54" s="134"/>
      <c r="H54" s="134"/>
      <c r="I54" s="134"/>
      <c r="J54" s="134"/>
      <c r="K54" s="134"/>
      <c r="L54" s="130">
        <f t="shared" si="0"/>
        <v>0</v>
      </c>
      <c r="M54" s="134"/>
      <c r="N54" s="130">
        <f t="shared" si="1"/>
        <v>0</v>
      </c>
      <c r="O54" s="130"/>
      <c r="P54" s="130">
        <f t="shared" si="1"/>
        <v>0</v>
      </c>
      <c r="R54">
        <f t="shared" si="1"/>
        <v>0</v>
      </c>
    </row>
    <row r="55" spans="1:18" hidden="1" x14ac:dyDescent="0.25">
      <c r="A55" s="130"/>
      <c r="B55" s="150" t="s">
        <v>226</v>
      </c>
      <c r="C55" s="130"/>
      <c r="D55" s="130"/>
      <c r="E55" s="139"/>
      <c r="F55" s="130"/>
      <c r="G55" s="134"/>
      <c r="H55" s="134"/>
      <c r="I55" s="134"/>
      <c r="J55" s="134"/>
      <c r="K55" s="134"/>
      <c r="L55" s="130">
        <f t="shared" si="0"/>
        <v>0</v>
      </c>
      <c r="M55" s="134"/>
      <c r="N55" s="130">
        <f t="shared" si="1"/>
        <v>0</v>
      </c>
      <c r="O55" s="130"/>
      <c r="P55" s="130">
        <f t="shared" si="1"/>
        <v>0</v>
      </c>
      <c r="R55">
        <f t="shared" si="1"/>
        <v>0</v>
      </c>
    </row>
    <row r="56" spans="1:18" ht="15.75" hidden="1" thickBot="1" x14ac:dyDescent="0.3">
      <c r="A56" s="130"/>
      <c r="B56" s="151" t="s">
        <v>227</v>
      </c>
      <c r="C56" s="130"/>
      <c r="D56" s="130"/>
      <c r="E56" s="139"/>
      <c r="F56" s="130"/>
      <c r="G56" s="134"/>
      <c r="H56" s="134"/>
      <c r="I56" s="134"/>
      <c r="J56" s="134"/>
      <c r="K56" s="134"/>
      <c r="L56" s="130">
        <f t="shared" si="0"/>
        <v>0</v>
      </c>
      <c r="M56" s="134"/>
      <c r="N56" s="130">
        <f t="shared" si="1"/>
        <v>0</v>
      </c>
      <c r="O56" s="130"/>
      <c r="P56" s="130">
        <f t="shared" si="1"/>
        <v>0</v>
      </c>
      <c r="R56">
        <f t="shared" si="1"/>
        <v>0</v>
      </c>
    </row>
    <row r="57" spans="1:18" hidden="1" x14ac:dyDescent="0.25">
      <c r="A57" s="130"/>
      <c r="B57" s="130"/>
      <c r="C57" s="130"/>
      <c r="D57" s="130"/>
      <c r="E57" s="139"/>
      <c r="F57" s="130"/>
      <c r="G57" s="134"/>
      <c r="H57" s="134"/>
      <c r="I57" s="134"/>
      <c r="J57" s="134"/>
      <c r="K57" s="134"/>
      <c r="L57" s="134">
        <f>SUM(L45:L56)</f>
        <v>0</v>
      </c>
      <c r="M57" s="134"/>
      <c r="N57" s="134">
        <f>SUM(N45:N56)</f>
        <v>0</v>
      </c>
      <c r="O57" s="130"/>
      <c r="P57" s="134">
        <f>SUM(P45:P56)</f>
        <v>0</v>
      </c>
      <c r="R57" s="11">
        <f>SUM(R45:R56)</f>
        <v>0</v>
      </c>
    </row>
    <row r="58" spans="1:18" hidden="1" x14ac:dyDescent="0.25">
      <c r="A58" s="130"/>
      <c r="B58" s="149" t="s">
        <v>56</v>
      </c>
      <c r="C58" s="130"/>
      <c r="D58" s="130"/>
      <c r="E58" s="139"/>
      <c r="F58" s="130"/>
      <c r="G58" s="134"/>
      <c r="H58" s="134"/>
      <c r="I58" s="134"/>
      <c r="J58" s="134"/>
      <c r="K58" s="134"/>
      <c r="L58" s="134"/>
      <c r="M58" s="134"/>
      <c r="N58" s="130"/>
      <c r="O58" s="130"/>
      <c r="P58" s="130"/>
    </row>
    <row r="59" spans="1:18" hidden="1" x14ac:dyDescent="0.25">
      <c r="A59" s="130"/>
      <c r="B59" s="150" t="s">
        <v>263</v>
      </c>
      <c r="C59" s="130"/>
      <c r="D59" s="130">
        <v>2</v>
      </c>
      <c r="E59" s="139"/>
      <c r="F59" s="130">
        <v>2</v>
      </c>
      <c r="G59" s="134"/>
      <c r="H59" s="134"/>
      <c r="I59" s="134"/>
      <c r="J59" s="134">
        <v>1</v>
      </c>
      <c r="K59" s="134"/>
      <c r="L59" s="130">
        <f>IF(OR($F$17=$B59,$F$19=$B59,$F$21=$B59,$F$23=$B59)=TRUE,D59,0)</f>
        <v>0</v>
      </c>
      <c r="M59" s="134"/>
      <c r="N59" s="130">
        <f>IF(OR($F$17=$B59,$F$19=$B59,$F$21=$B59,$F$23=$B59)=TRUE,F59,0)</f>
        <v>0</v>
      </c>
      <c r="O59" s="130"/>
      <c r="P59" s="130">
        <f>IF(OR($F$17=$B59,$F$19=$B59,$F$21=$B59,$F$23=$B59)=TRUE,H59,0)</f>
        <v>0</v>
      </c>
      <c r="R59">
        <f>IF(OR($F$17=$B59,$F$19=$B59,$F$21=$B59,$F$23=$B59)=TRUE,J59,0)</f>
        <v>0</v>
      </c>
    </row>
    <row r="60" spans="1:18" hidden="1" x14ac:dyDescent="0.25">
      <c r="A60" s="130"/>
      <c r="B60" s="150" t="s">
        <v>264</v>
      </c>
      <c r="C60" s="130"/>
      <c r="D60" s="130">
        <v>2</v>
      </c>
      <c r="E60" s="139"/>
      <c r="F60" s="130">
        <v>2</v>
      </c>
      <c r="G60" s="134"/>
      <c r="H60" s="134"/>
      <c r="I60" s="134"/>
      <c r="J60" s="134">
        <v>2</v>
      </c>
      <c r="K60" s="134"/>
      <c r="L60" s="130">
        <f t="shared" ref="L60:R71" si="2">IF(OR($F$17=$B60,$F$19=$B60,$F$21=$B60,$F$23=$B60)=TRUE,D60,0)</f>
        <v>0</v>
      </c>
      <c r="M60" s="134"/>
      <c r="N60" s="130">
        <f t="shared" si="2"/>
        <v>0</v>
      </c>
      <c r="O60" s="130"/>
      <c r="P60" s="130">
        <f t="shared" si="2"/>
        <v>0</v>
      </c>
      <c r="R60">
        <f t="shared" si="2"/>
        <v>0</v>
      </c>
    </row>
    <row r="61" spans="1:18" hidden="1" x14ac:dyDescent="0.25">
      <c r="A61" s="130"/>
      <c r="B61" s="150" t="s">
        <v>265</v>
      </c>
      <c r="C61" s="130"/>
      <c r="D61" s="130">
        <v>2</v>
      </c>
      <c r="E61" s="139"/>
      <c r="F61" s="130">
        <v>2</v>
      </c>
      <c r="G61" s="134"/>
      <c r="H61" s="134"/>
      <c r="I61" s="134"/>
      <c r="J61" s="134">
        <v>3</v>
      </c>
      <c r="K61" s="134"/>
      <c r="L61" s="130">
        <f t="shared" si="2"/>
        <v>0</v>
      </c>
      <c r="M61" s="134"/>
      <c r="N61" s="130">
        <f t="shared" si="2"/>
        <v>0</v>
      </c>
      <c r="O61" s="130"/>
      <c r="P61" s="130">
        <f t="shared" si="2"/>
        <v>0</v>
      </c>
      <c r="R61">
        <f t="shared" si="2"/>
        <v>0</v>
      </c>
    </row>
    <row r="62" spans="1:18" hidden="1" x14ac:dyDescent="0.25">
      <c r="A62" s="130"/>
      <c r="B62" s="150" t="s">
        <v>266</v>
      </c>
      <c r="C62" s="130"/>
      <c r="D62" s="130">
        <v>2</v>
      </c>
      <c r="E62" s="139"/>
      <c r="F62" s="130">
        <v>2</v>
      </c>
      <c r="G62" s="134"/>
      <c r="H62" s="134"/>
      <c r="I62" s="134"/>
      <c r="J62" s="134">
        <v>4</v>
      </c>
      <c r="K62" s="134"/>
      <c r="L62" s="130">
        <f t="shared" si="2"/>
        <v>0</v>
      </c>
      <c r="M62" s="134"/>
      <c r="N62" s="130">
        <f t="shared" si="2"/>
        <v>0</v>
      </c>
      <c r="O62" s="130"/>
      <c r="P62" s="130">
        <f t="shared" si="2"/>
        <v>0</v>
      </c>
      <c r="R62">
        <f t="shared" si="2"/>
        <v>0</v>
      </c>
    </row>
    <row r="63" spans="1:18" hidden="1" x14ac:dyDescent="0.25">
      <c r="A63" s="130"/>
      <c r="B63" s="150" t="s">
        <v>267</v>
      </c>
      <c r="C63" s="130"/>
      <c r="D63" s="130">
        <v>2</v>
      </c>
      <c r="E63" s="139"/>
      <c r="F63" s="130">
        <v>2</v>
      </c>
      <c r="G63" s="134"/>
      <c r="H63" s="134"/>
      <c r="I63" s="134"/>
      <c r="J63" s="134">
        <v>5</v>
      </c>
      <c r="K63" s="134"/>
      <c r="L63" s="130">
        <f t="shared" si="2"/>
        <v>0</v>
      </c>
      <c r="M63" s="134"/>
      <c r="N63" s="130">
        <f t="shared" si="2"/>
        <v>0</v>
      </c>
      <c r="O63" s="130"/>
      <c r="P63" s="130">
        <f t="shared" si="2"/>
        <v>0</v>
      </c>
      <c r="R63">
        <f t="shared" si="2"/>
        <v>0</v>
      </c>
    </row>
    <row r="64" spans="1:18" hidden="1" x14ac:dyDescent="0.25">
      <c r="A64" s="130"/>
      <c r="B64" s="150" t="s">
        <v>228</v>
      </c>
      <c r="C64" s="130"/>
      <c r="D64" s="130">
        <v>1</v>
      </c>
      <c r="E64" s="139"/>
      <c r="F64" s="130"/>
      <c r="G64" s="134"/>
      <c r="H64" s="134"/>
      <c r="I64" s="134"/>
      <c r="J64" s="134">
        <v>5</v>
      </c>
      <c r="K64" s="134"/>
      <c r="L64" s="130">
        <f t="shared" si="2"/>
        <v>0</v>
      </c>
      <c r="M64" s="134"/>
      <c r="N64" s="130">
        <f t="shared" si="2"/>
        <v>0</v>
      </c>
      <c r="O64" s="130"/>
      <c r="P64" s="130">
        <f t="shared" si="2"/>
        <v>0</v>
      </c>
      <c r="R64">
        <f t="shared" si="2"/>
        <v>0</v>
      </c>
    </row>
    <row r="65" spans="1:18" hidden="1" x14ac:dyDescent="0.25">
      <c r="A65" s="130"/>
      <c r="B65" s="150" t="s">
        <v>229</v>
      </c>
      <c r="C65" s="130"/>
      <c r="D65" s="130">
        <v>2</v>
      </c>
      <c r="E65" s="139"/>
      <c r="F65" s="130"/>
      <c r="G65" s="134"/>
      <c r="H65" s="134"/>
      <c r="I65" s="134"/>
      <c r="J65" s="134">
        <v>50</v>
      </c>
      <c r="K65" s="134"/>
      <c r="L65" s="130">
        <f t="shared" si="2"/>
        <v>0</v>
      </c>
      <c r="M65" s="134"/>
      <c r="N65" s="130">
        <f t="shared" si="2"/>
        <v>0</v>
      </c>
      <c r="O65" s="130"/>
      <c r="P65" s="130">
        <f t="shared" si="2"/>
        <v>0</v>
      </c>
      <c r="R65">
        <f t="shared" si="2"/>
        <v>0</v>
      </c>
    </row>
    <row r="66" spans="1:18" hidden="1" x14ac:dyDescent="0.25">
      <c r="A66" s="130"/>
      <c r="B66" s="150" t="s">
        <v>230</v>
      </c>
      <c r="C66" s="130"/>
      <c r="D66" s="130"/>
      <c r="E66" s="139"/>
      <c r="F66" s="130">
        <v>1</v>
      </c>
      <c r="G66" s="134"/>
      <c r="H66" s="134"/>
      <c r="I66" s="134"/>
      <c r="J66" s="134">
        <v>3</v>
      </c>
      <c r="K66" s="134"/>
      <c r="L66" s="130">
        <f t="shared" si="2"/>
        <v>0</v>
      </c>
      <c r="M66" s="134"/>
      <c r="N66" s="130">
        <f t="shared" si="2"/>
        <v>0</v>
      </c>
      <c r="O66" s="130"/>
      <c r="P66" s="130">
        <f t="shared" si="2"/>
        <v>0</v>
      </c>
      <c r="R66">
        <f t="shared" si="2"/>
        <v>0</v>
      </c>
    </row>
    <row r="67" spans="1:18" hidden="1" x14ac:dyDescent="0.25">
      <c r="A67" s="130"/>
      <c r="B67" s="150" t="s">
        <v>231</v>
      </c>
      <c r="C67" s="130"/>
      <c r="D67" s="130"/>
      <c r="E67" s="139"/>
      <c r="F67" s="130">
        <v>2</v>
      </c>
      <c r="G67" s="134"/>
      <c r="H67" s="134"/>
      <c r="I67" s="134"/>
      <c r="J67" s="134">
        <v>15</v>
      </c>
      <c r="K67" s="134"/>
      <c r="L67" s="130">
        <f t="shared" si="2"/>
        <v>0</v>
      </c>
      <c r="M67" s="134"/>
      <c r="N67" s="130">
        <f t="shared" si="2"/>
        <v>0</v>
      </c>
      <c r="O67" s="130"/>
      <c r="P67" s="130">
        <f t="shared" si="2"/>
        <v>0</v>
      </c>
      <c r="R67">
        <f t="shared" si="2"/>
        <v>0</v>
      </c>
    </row>
    <row r="68" spans="1:18" hidden="1" x14ac:dyDescent="0.25">
      <c r="A68" s="130"/>
      <c r="B68" s="150" t="s">
        <v>232</v>
      </c>
      <c r="C68" s="130"/>
      <c r="D68" s="130"/>
      <c r="E68" s="139"/>
      <c r="F68" s="130"/>
      <c r="G68" s="134"/>
      <c r="H68" s="134"/>
      <c r="I68" s="134"/>
      <c r="J68" s="134">
        <v>10</v>
      </c>
      <c r="K68" s="134"/>
      <c r="L68" s="130">
        <f t="shared" si="2"/>
        <v>0</v>
      </c>
      <c r="M68" s="134"/>
      <c r="N68" s="130">
        <f t="shared" si="2"/>
        <v>0</v>
      </c>
      <c r="O68" s="130"/>
      <c r="P68" s="130">
        <f t="shared" si="2"/>
        <v>0</v>
      </c>
      <c r="R68">
        <f t="shared" si="2"/>
        <v>0</v>
      </c>
    </row>
    <row r="69" spans="1:18" hidden="1" x14ac:dyDescent="0.25">
      <c r="A69" s="130"/>
      <c r="B69" s="150" t="s">
        <v>233</v>
      </c>
      <c r="C69" s="130"/>
      <c r="D69" s="130"/>
      <c r="E69" s="139"/>
      <c r="F69" s="130"/>
      <c r="G69" s="134"/>
      <c r="H69" s="134"/>
      <c r="I69" s="134"/>
      <c r="J69" s="134">
        <v>2</v>
      </c>
      <c r="K69" s="134"/>
      <c r="L69" s="130">
        <f t="shared" si="2"/>
        <v>0</v>
      </c>
      <c r="M69" s="134"/>
      <c r="N69" s="130">
        <f t="shared" si="2"/>
        <v>0</v>
      </c>
      <c r="O69" s="130"/>
      <c r="P69" s="130">
        <f t="shared" si="2"/>
        <v>0</v>
      </c>
      <c r="R69">
        <f t="shared" si="2"/>
        <v>0</v>
      </c>
    </row>
    <row r="70" spans="1:18" hidden="1" x14ac:dyDescent="0.25">
      <c r="A70" s="130"/>
      <c r="B70" s="150" t="s">
        <v>234</v>
      </c>
      <c r="C70" s="130"/>
      <c r="D70" s="130"/>
      <c r="E70" s="139"/>
      <c r="F70" s="130"/>
      <c r="G70" s="134"/>
      <c r="H70" s="134"/>
      <c r="I70" s="134"/>
      <c r="J70" s="134">
        <v>15</v>
      </c>
      <c r="K70" s="134"/>
      <c r="L70" s="130">
        <f t="shared" si="2"/>
        <v>0</v>
      </c>
      <c r="M70" s="134"/>
      <c r="N70" s="130">
        <f t="shared" si="2"/>
        <v>0</v>
      </c>
      <c r="O70" s="130"/>
      <c r="P70" s="130">
        <f t="shared" si="2"/>
        <v>0</v>
      </c>
      <c r="R70">
        <f t="shared" si="2"/>
        <v>0</v>
      </c>
    </row>
    <row r="71" spans="1:18" ht="15.75" hidden="1" thickBot="1" x14ac:dyDescent="0.3">
      <c r="A71" s="130"/>
      <c r="B71" s="151" t="s">
        <v>253</v>
      </c>
      <c r="C71" s="130"/>
      <c r="D71" s="130"/>
      <c r="E71" s="139"/>
      <c r="F71" s="130"/>
      <c r="G71" s="134"/>
      <c r="H71" s="134"/>
      <c r="I71" s="134"/>
      <c r="J71" s="134">
        <v>10</v>
      </c>
      <c r="K71" s="134"/>
      <c r="L71" s="130">
        <f t="shared" si="2"/>
        <v>0</v>
      </c>
      <c r="M71" s="134"/>
      <c r="N71" s="130">
        <f t="shared" si="2"/>
        <v>0</v>
      </c>
      <c r="O71" s="130"/>
      <c r="P71" s="130">
        <f t="shared" si="2"/>
        <v>0</v>
      </c>
      <c r="R71">
        <f t="shared" si="2"/>
        <v>0</v>
      </c>
    </row>
    <row r="72" spans="1:18" hidden="1" x14ac:dyDescent="0.25">
      <c r="A72" s="130"/>
      <c r="B72" s="130"/>
      <c r="C72" s="130"/>
      <c r="D72" s="130"/>
      <c r="E72" s="139"/>
      <c r="F72" s="130"/>
      <c r="G72" s="134"/>
      <c r="H72" s="134"/>
      <c r="I72" s="134"/>
      <c r="J72" s="134"/>
      <c r="K72" s="134"/>
      <c r="L72" s="134">
        <f>SUM(L59:L71)</f>
        <v>0</v>
      </c>
      <c r="M72" s="134"/>
      <c r="N72" s="134">
        <f>SUM(N59:N71)</f>
        <v>0</v>
      </c>
      <c r="O72" s="130"/>
      <c r="P72" s="134">
        <f>SUM(P59:P71)</f>
        <v>0</v>
      </c>
      <c r="R72" s="11">
        <f>SUM(R59:R71)</f>
        <v>0</v>
      </c>
    </row>
    <row r="73" spans="1:18" hidden="1" x14ac:dyDescent="0.25">
      <c r="A73" s="130"/>
      <c r="B73" s="149" t="s">
        <v>235</v>
      </c>
      <c r="C73" s="130"/>
      <c r="D73" s="130"/>
      <c r="E73" s="139"/>
      <c r="F73" s="130"/>
      <c r="G73" s="134"/>
      <c r="H73" s="134"/>
      <c r="I73" s="134"/>
      <c r="J73" s="134"/>
      <c r="K73" s="134"/>
      <c r="L73" s="130"/>
      <c r="M73" s="134"/>
      <c r="N73" s="130"/>
      <c r="O73" s="130"/>
      <c r="P73" s="130"/>
    </row>
    <row r="74" spans="1:18" hidden="1" x14ac:dyDescent="0.25">
      <c r="A74" s="130"/>
      <c r="B74" s="150" t="s">
        <v>236</v>
      </c>
      <c r="C74" s="130"/>
      <c r="D74" s="130"/>
      <c r="E74" s="139"/>
      <c r="F74" s="130"/>
      <c r="G74" s="134"/>
      <c r="H74" s="134"/>
      <c r="I74" s="134"/>
      <c r="J74" s="134"/>
      <c r="K74" s="134"/>
      <c r="L74" s="130">
        <f>IF(OR($B$31=$B74,$B$33=$B74,$B$35=$B74,$B$35=$B74,$B$37=$B74,$B$39=$B74)=TRUE,D74,0)</f>
        <v>0</v>
      </c>
      <c r="M74" s="134"/>
      <c r="N74" s="130">
        <f t="shared" ref="N74:N90" si="3">IF(OR($B$31=$B74,$B$33=$B74,$B$35=$B74,$B$35=$B74,$B$37=$B74,$B$39=$B74)=TRUE,F74,0)</f>
        <v>0</v>
      </c>
      <c r="O74" s="130"/>
      <c r="P74" s="130">
        <f t="shared" ref="P74:P90" si="4">IF(OR($B$31=$B74,$B$33=$B74,$B$35=$B74,$B$35=$B74,$B$37=$B74,$B$39=$B74)=TRUE,H74,0)</f>
        <v>0</v>
      </c>
      <c r="R74">
        <f t="shared" ref="R74:R90" si="5">IF(OR($B$31=$B74,$B$33=$B74,$B$35=$B74,$B$35=$B74,$B$37=$B74,$B$39=$B74)=TRUE,J74,0)</f>
        <v>0</v>
      </c>
    </row>
    <row r="75" spans="1:18" hidden="1" x14ac:dyDescent="0.25">
      <c r="A75" s="130"/>
      <c r="B75" s="150" t="s">
        <v>240</v>
      </c>
      <c r="C75" s="130"/>
      <c r="D75" s="130"/>
      <c r="E75" s="139"/>
      <c r="F75" s="130"/>
      <c r="G75" s="134"/>
      <c r="H75" s="134"/>
      <c r="I75" s="134"/>
      <c r="J75" s="134"/>
      <c r="K75" s="134"/>
      <c r="L75" s="130">
        <f t="shared" ref="L75:L90" si="6">IF(OR($B$31=$B75,$B$33=$B75,$B$35=$B75,$B$35=$B75,$B$37=$B75,$B$39=$B75)=TRUE,D75,0)</f>
        <v>0</v>
      </c>
      <c r="M75" s="134"/>
      <c r="N75" s="130">
        <f t="shared" si="3"/>
        <v>0</v>
      </c>
      <c r="O75" s="130"/>
      <c r="P75" s="130">
        <f t="shared" si="4"/>
        <v>0</v>
      </c>
      <c r="R75">
        <f t="shared" si="5"/>
        <v>0</v>
      </c>
    </row>
    <row r="76" spans="1:18" hidden="1" x14ac:dyDescent="0.25">
      <c r="A76" s="130"/>
      <c r="B76" s="150" t="s">
        <v>251</v>
      </c>
      <c r="C76" s="130"/>
      <c r="D76" s="130"/>
      <c r="E76" s="139"/>
      <c r="F76" s="130"/>
      <c r="G76" s="134"/>
      <c r="H76" s="134"/>
      <c r="I76" s="134"/>
      <c r="J76" s="134">
        <v>-1</v>
      </c>
      <c r="K76" s="134"/>
      <c r="L76" s="130">
        <f t="shared" si="6"/>
        <v>0</v>
      </c>
      <c r="M76" s="134"/>
      <c r="N76" s="130">
        <f t="shared" si="3"/>
        <v>0</v>
      </c>
      <c r="O76" s="130"/>
      <c r="P76" s="130">
        <f t="shared" si="4"/>
        <v>0</v>
      </c>
      <c r="R76">
        <f t="shared" si="5"/>
        <v>0</v>
      </c>
    </row>
    <row r="77" spans="1:18" hidden="1" x14ac:dyDescent="0.25">
      <c r="A77" s="130"/>
      <c r="B77" s="150" t="s">
        <v>237</v>
      </c>
      <c r="C77" s="134"/>
      <c r="D77" s="130"/>
      <c r="E77" s="139"/>
      <c r="F77" s="130"/>
      <c r="G77" s="134"/>
      <c r="H77" s="134"/>
      <c r="I77" s="134"/>
      <c r="J77" s="134"/>
      <c r="K77" s="134"/>
      <c r="L77" s="130">
        <f t="shared" si="6"/>
        <v>0</v>
      </c>
      <c r="M77" s="134"/>
      <c r="N77" s="130">
        <f t="shared" si="3"/>
        <v>0</v>
      </c>
      <c r="O77" s="130"/>
      <c r="P77" s="130">
        <f t="shared" si="4"/>
        <v>0</v>
      </c>
      <c r="R77">
        <f t="shared" si="5"/>
        <v>0</v>
      </c>
    </row>
    <row r="78" spans="1:18" hidden="1" x14ac:dyDescent="0.25">
      <c r="A78" s="130"/>
      <c r="B78" s="150" t="s">
        <v>239</v>
      </c>
      <c r="C78" s="134"/>
      <c r="D78" s="130"/>
      <c r="E78" s="139"/>
      <c r="F78" s="130"/>
      <c r="G78" s="134"/>
      <c r="H78" s="134"/>
      <c r="I78" s="134"/>
      <c r="J78" s="134"/>
      <c r="K78" s="134"/>
      <c r="L78" s="130">
        <f t="shared" si="6"/>
        <v>0</v>
      </c>
      <c r="M78" s="134"/>
      <c r="N78" s="130">
        <f t="shared" si="3"/>
        <v>0</v>
      </c>
      <c r="O78" s="130"/>
      <c r="P78" s="130">
        <f t="shared" si="4"/>
        <v>0</v>
      </c>
      <c r="R78">
        <f t="shared" si="5"/>
        <v>0</v>
      </c>
    </row>
    <row r="79" spans="1:18" hidden="1" x14ac:dyDescent="0.25">
      <c r="A79" s="130"/>
      <c r="B79" s="150" t="s">
        <v>243</v>
      </c>
      <c r="C79" s="134"/>
      <c r="D79" s="130"/>
      <c r="E79" s="139"/>
      <c r="F79" s="130"/>
      <c r="G79" s="134"/>
      <c r="H79" s="134"/>
      <c r="I79" s="134"/>
      <c r="J79" s="134"/>
      <c r="K79" s="134"/>
      <c r="L79" s="130">
        <f t="shared" si="6"/>
        <v>0</v>
      </c>
      <c r="M79" s="134"/>
      <c r="N79" s="130">
        <f t="shared" si="3"/>
        <v>0</v>
      </c>
      <c r="O79" s="130"/>
      <c r="P79" s="130">
        <f t="shared" si="4"/>
        <v>0</v>
      </c>
      <c r="R79">
        <f t="shared" si="5"/>
        <v>0</v>
      </c>
    </row>
    <row r="80" spans="1:18" hidden="1" x14ac:dyDescent="0.25">
      <c r="A80" s="130"/>
      <c r="B80" s="150" t="s">
        <v>252</v>
      </c>
      <c r="C80" s="134"/>
      <c r="D80" s="130"/>
      <c r="E80" s="139"/>
      <c r="F80" s="130"/>
      <c r="G80" s="134"/>
      <c r="H80" s="134"/>
      <c r="I80" s="134"/>
      <c r="J80" s="134"/>
      <c r="K80" s="134"/>
      <c r="L80" s="130">
        <f t="shared" si="6"/>
        <v>0</v>
      </c>
      <c r="M80" s="134"/>
      <c r="N80" s="130">
        <f t="shared" si="3"/>
        <v>0</v>
      </c>
      <c r="O80" s="130"/>
      <c r="P80" s="130">
        <f t="shared" si="4"/>
        <v>0</v>
      </c>
      <c r="R80">
        <f t="shared" si="5"/>
        <v>0</v>
      </c>
    </row>
    <row r="81" spans="1:18" hidden="1" x14ac:dyDescent="0.25">
      <c r="A81" s="130"/>
      <c r="B81" s="150" t="s">
        <v>244</v>
      </c>
      <c r="C81" s="134"/>
      <c r="D81" s="130"/>
      <c r="E81" s="139"/>
      <c r="F81" s="130">
        <v>1</v>
      </c>
      <c r="G81" s="134"/>
      <c r="H81" s="134"/>
      <c r="I81" s="134"/>
      <c r="J81" s="134"/>
      <c r="K81" s="134"/>
      <c r="L81" s="130">
        <f t="shared" si="6"/>
        <v>0</v>
      </c>
      <c r="M81" s="134"/>
      <c r="N81" s="130">
        <f t="shared" si="3"/>
        <v>0</v>
      </c>
      <c r="O81" s="130"/>
      <c r="P81" s="130">
        <f t="shared" si="4"/>
        <v>0</v>
      </c>
      <c r="R81">
        <f t="shared" si="5"/>
        <v>0</v>
      </c>
    </row>
    <row r="82" spans="1:18" hidden="1" x14ac:dyDescent="0.25">
      <c r="A82" s="130"/>
      <c r="B82" s="150" t="s">
        <v>245</v>
      </c>
      <c r="C82" s="134"/>
      <c r="D82" s="130"/>
      <c r="E82" s="139"/>
      <c r="F82" s="130"/>
      <c r="G82" s="134"/>
      <c r="H82" s="134"/>
      <c r="I82" s="134"/>
      <c r="J82" s="134"/>
      <c r="K82" s="134"/>
      <c r="L82" s="130">
        <f t="shared" si="6"/>
        <v>0</v>
      </c>
      <c r="M82" s="134"/>
      <c r="N82" s="130">
        <f t="shared" si="3"/>
        <v>0</v>
      </c>
      <c r="O82" s="130"/>
      <c r="P82" s="130">
        <f t="shared" si="4"/>
        <v>0</v>
      </c>
      <c r="R82">
        <f t="shared" si="5"/>
        <v>0</v>
      </c>
    </row>
    <row r="83" spans="1:18" hidden="1" x14ac:dyDescent="0.25">
      <c r="A83" s="130"/>
      <c r="B83" s="150" t="s">
        <v>241</v>
      </c>
      <c r="C83" s="134"/>
      <c r="D83" s="130"/>
      <c r="E83" s="139"/>
      <c r="F83" s="130"/>
      <c r="G83" s="134"/>
      <c r="H83" s="134"/>
      <c r="I83" s="134"/>
      <c r="J83" s="134"/>
      <c r="K83" s="134"/>
      <c r="L83" s="130">
        <f t="shared" si="6"/>
        <v>0</v>
      </c>
      <c r="M83" s="134"/>
      <c r="N83" s="130">
        <f t="shared" si="3"/>
        <v>0</v>
      </c>
      <c r="O83" s="130"/>
      <c r="P83" s="130">
        <f t="shared" si="4"/>
        <v>0</v>
      </c>
      <c r="R83">
        <f t="shared" si="5"/>
        <v>0</v>
      </c>
    </row>
    <row r="84" spans="1:18" hidden="1" x14ac:dyDescent="0.25">
      <c r="A84" s="130"/>
      <c r="B84" s="150" t="s">
        <v>246</v>
      </c>
      <c r="C84" s="134"/>
      <c r="D84" s="130"/>
      <c r="E84" s="139"/>
      <c r="F84" s="130"/>
      <c r="G84" s="134"/>
      <c r="H84" s="134"/>
      <c r="I84" s="134"/>
      <c r="J84" s="134"/>
      <c r="K84" s="134"/>
      <c r="L84" s="130">
        <f t="shared" si="6"/>
        <v>0</v>
      </c>
      <c r="M84" s="134"/>
      <c r="N84" s="130">
        <f t="shared" si="3"/>
        <v>0</v>
      </c>
      <c r="O84" s="130"/>
      <c r="P84" s="130">
        <f t="shared" si="4"/>
        <v>0</v>
      </c>
      <c r="R84">
        <f t="shared" si="5"/>
        <v>0</v>
      </c>
    </row>
    <row r="85" spans="1:18" hidden="1" x14ac:dyDescent="0.25">
      <c r="A85" s="130"/>
      <c r="B85" s="150" t="s">
        <v>238</v>
      </c>
      <c r="C85" s="134"/>
      <c r="D85" s="130"/>
      <c r="E85" s="139"/>
      <c r="F85" s="130"/>
      <c r="G85" s="134"/>
      <c r="H85" s="134"/>
      <c r="I85" s="134"/>
      <c r="J85" s="134"/>
      <c r="K85" s="134"/>
      <c r="L85" s="130">
        <f t="shared" si="6"/>
        <v>0</v>
      </c>
      <c r="M85" s="134"/>
      <c r="N85" s="130">
        <f t="shared" si="3"/>
        <v>0</v>
      </c>
      <c r="O85" s="130"/>
      <c r="P85" s="130">
        <f t="shared" si="4"/>
        <v>0</v>
      </c>
      <c r="R85">
        <f t="shared" si="5"/>
        <v>0</v>
      </c>
    </row>
    <row r="86" spans="1:18" hidden="1" x14ac:dyDescent="0.25">
      <c r="A86" s="130"/>
      <c r="B86" s="150" t="s">
        <v>247</v>
      </c>
      <c r="C86" s="134"/>
      <c r="D86" s="130"/>
      <c r="E86" s="139"/>
      <c r="F86" s="130"/>
      <c r="G86" s="134"/>
      <c r="H86" s="134"/>
      <c r="I86" s="134"/>
      <c r="J86" s="134"/>
      <c r="K86" s="134"/>
      <c r="L86" s="130">
        <f t="shared" si="6"/>
        <v>0</v>
      </c>
      <c r="M86" s="134"/>
      <c r="N86" s="130">
        <f t="shared" si="3"/>
        <v>0</v>
      </c>
      <c r="O86" s="130"/>
      <c r="P86" s="130">
        <f t="shared" si="4"/>
        <v>0</v>
      </c>
      <c r="R86">
        <f t="shared" si="5"/>
        <v>0</v>
      </c>
    </row>
    <row r="87" spans="1:18" hidden="1" x14ac:dyDescent="0.25">
      <c r="A87" s="130"/>
      <c r="B87" s="150" t="s">
        <v>248</v>
      </c>
      <c r="C87" s="134"/>
      <c r="D87" s="130"/>
      <c r="E87" s="139"/>
      <c r="F87" s="130">
        <v>10</v>
      </c>
      <c r="G87" s="134"/>
      <c r="H87" s="134"/>
      <c r="I87" s="134"/>
      <c r="J87" s="134"/>
      <c r="K87" s="134"/>
      <c r="L87" s="130">
        <f t="shared" si="6"/>
        <v>0</v>
      </c>
      <c r="M87" s="134"/>
      <c r="N87" s="130">
        <f t="shared" si="3"/>
        <v>0</v>
      </c>
      <c r="O87" s="130"/>
      <c r="P87" s="130">
        <f t="shared" si="4"/>
        <v>0</v>
      </c>
      <c r="R87">
        <f t="shared" si="5"/>
        <v>0</v>
      </c>
    </row>
    <row r="88" spans="1:18" hidden="1" x14ac:dyDescent="0.25">
      <c r="A88" s="130"/>
      <c r="B88" s="150" t="s">
        <v>249</v>
      </c>
      <c r="C88" s="134"/>
      <c r="D88" s="130"/>
      <c r="E88" s="139"/>
      <c r="F88" s="130"/>
      <c r="G88" s="134"/>
      <c r="H88" s="134"/>
      <c r="I88" s="134"/>
      <c r="J88" s="134"/>
      <c r="K88" s="134"/>
      <c r="L88" s="130">
        <f t="shared" si="6"/>
        <v>0</v>
      </c>
      <c r="M88" s="134"/>
      <c r="N88" s="130">
        <f t="shared" si="3"/>
        <v>0</v>
      </c>
      <c r="O88" s="130"/>
      <c r="P88" s="130">
        <f t="shared" si="4"/>
        <v>0</v>
      </c>
      <c r="R88">
        <f t="shared" si="5"/>
        <v>0</v>
      </c>
    </row>
    <row r="89" spans="1:18" hidden="1" x14ac:dyDescent="0.25">
      <c r="A89" s="130"/>
      <c r="B89" s="150" t="s">
        <v>250</v>
      </c>
      <c r="C89" s="134"/>
      <c r="D89" s="130"/>
      <c r="E89" s="139"/>
      <c r="F89" s="130"/>
      <c r="G89" s="134"/>
      <c r="H89" s="134"/>
      <c r="I89" s="134"/>
      <c r="J89" s="134"/>
      <c r="K89" s="134"/>
      <c r="L89" s="130">
        <f t="shared" si="6"/>
        <v>0</v>
      </c>
      <c r="M89" s="134"/>
      <c r="N89" s="130">
        <f t="shared" si="3"/>
        <v>0</v>
      </c>
      <c r="O89" s="130"/>
      <c r="P89" s="130">
        <f t="shared" si="4"/>
        <v>0</v>
      </c>
      <c r="R89">
        <f t="shared" si="5"/>
        <v>0</v>
      </c>
    </row>
    <row r="90" spans="1:18" ht="15.75" hidden="1" thickBot="1" x14ac:dyDescent="0.3">
      <c r="A90" s="130"/>
      <c r="B90" s="151" t="s">
        <v>242</v>
      </c>
      <c r="C90" s="134"/>
      <c r="D90" s="130"/>
      <c r="E90" s="139"/>
      <c r="F90" s="130"/>
      <c r="G90" s="134"/>
      <c r="H90" s="134"/>
      <c r="I90" s="134"/>
      <c r="J90" s="134"/>
      <c r="K90" s="134"/>
      <c r="L90" s="130">
        <f t="shared" si="6"/>
        <v>0</v>
      </c>
      <c r="M90" s="134"/>
      <c r="N90" s="130">
        <f t="shared" si="3"/>
        <v>0</v>
      </c>
      <c r="O90" s="130"/>
      <c r="P90" s="130">
        <f t="shared" si="4"/>
        <v>0</v>
      </c>
      <c r="R90">
        <f t="shared" si="5"/>
        <v>0</v>
      </c>
    </row>
    <row r="91" spans="1:18" hidden="1" x14ac:dyDescent="0.25">
      <c r="A91" s="130"/>
      <c r="B91" s="130"/>
      <c r="C91" s="134"/>
      <c r="D91" s="130"/>
      <c r="E91" s="139"/>
      <c r="F91" s="130"/>
      <c r="G91" s="134"/>
      <c r="H91" s="134"/>
      <c r="I91" s="134"/>
      <c r="J91" s="134"/>
      <c r="K91" s="134"/>
      <c r="L91" s="134">
        <f>SUM(L74:L90)</f>
        <v>0</v>
      </c>
      <c r="M91" s="134"/>
      <c r="N91" s="134">
        <f>SUM(N74:N90)</f>
        <v>0</v>
      </c>
      <c r="O91" s="130"/>
      <c r="P91" s="134">
        <f>SUM(P74:P90)</f>
        <v>0</v>
      </c>
      <c r="R91" s="11">
        <f>SUM(R74:R90)</f>
        <v>0</v>
      </c>
    </row>
    <row r="92" spans="1:18" x14ac:dyDescent="0.25">
      <c r="A92" s="130"/>
      <c r="B92" s="130"/>
      <c r="C92" s="134"/>
      <c r="D92" s="130"/>
      <c r="E92" s="139"/>
      <c r="F92" s="130"/>
      <c r="G92" s="134"/>
      <c r="H92" s="134"/>
      <c r="I92" s="134"/>
      <c r="J92" s="134"/>
      <c r="K92" s="134"/>
      <c r="L92" s="134"/>
      <c r="M92" s="134"/>
      <c r="N92" s="130"/>
      <c r="O92" s="130"/>
      <c r="P92" s="130"/>
    </row>
    <row r="93" spans="1:18" x14ac:dyDescent="0.25">
      <c r="A93" s="130"/>
      <c r="B93" s="130"/>
      <c r="C93" s="134"/>
      <c r="D93" s="130"/>
      <c r="E93" s="139"/>
      <c r="F93" s="130"/>
      <c r="G93" s="134"/>
      <c r="H93" s="134"/>
      <c r="I93" s="134"/>
      <c r="J93" s="134"/>
      <c r="K93" s="134"/>
      <c r="L93" s="134"/>
      <c r="M93" s="134"/>
      <c r="N93" s="130"/>
      <c r="O93" s="130"/>
      <c r="P93" s="130"/>
    </row>
    <row r="94" spans="1:18" x14ac:dyDescent="0.25">
      <c r="A94" s="130"/>
      <c r="B94" s="130"/>
      <c r="C94" s="134"/>
      <c r="D94" s="130"/>
      <c r="E94" s="139"/>
      <c r="F94" s="130"/>
      <c r="G94" s="134"/>
      <c r="H94" s="134"/>
      <c r="I94" s="134"/>
      <c r="J94" s="134"/>
      <c r="K94" s="134"/>
      <c r="L94" s="134"/>
      <c r="M94" s="134"/>
      <c r="N94" s="130"/>
      <c r="O94" s="130"/>
      <c r="P94" s="130"/>
    </row>
    <row r="95" spans="1:18" x14ac:dyDescent="0.25">
      <c r="A95" s="130"/>
      <c r="B95" s="130"/>
      <c r="C95" s="134"/>
      <c r="D95" s="130"/>
      <c r="E95" s="139"/>
      <c r="F95" s="130"/>
      <c r="G95" s="134"/>
      <c r="H95" s="134"/>
      <c r="I95" s="134"/>
      <c r="J95" s="134"/>
      <c r="K95" s="134"/>
      <c r="L95" s="134"/>
      <c r="M95" s="134"/>
      <c r="N95" s="130"/>
      <c r="O95" s="130"/>
      <c r="P95" s="130"/>
    </row>
  </sheetData>
  <sheetProtection sheet="1" objects="1" scenarios="1" selectLockedCells="1"/>
  <mergeCells count="37">
    <mergeCell ref="A40:L40"/>
    <mergeCell ref="B31:D31"/>
    <mergeCell ref="F31:L37"/>
    <mergeCell ref="B33:D33"/>
    <mergeCell ref="B35:D35"/>
    <mergeCell ref="B37:D37"/>
    <mergeCell ref="B39:D39"/>
    <mergeCell ref="F39:J39"/>
    <mergeCell ref="B29:D29"/>
    <mergeCell ref="F29:L29"/>
    <mergeCell ref="B17:D17"/>
    <mergeCell ref="F17:L17"/>
    <mergeCell ref="B19:D19"/>
    <mergeCell ref="F19:L19"/>
    <mergeCell ref="B21:D21"/>
    <mergeCell ref="F21:L21"/>
    <mergeCell ref="B23:D23"/>
    <mergeCell ref="F23:L23"/>
    <mergeCell ref="D25:H25"/>
    <mergeCell ref="F27:H27"/>
    <mergeCell ref="J27:L27"/>
    <mergeCell ref="A1:M1"/>
    <mergeCell ref="A2:A39"/>
    <mergeCell ref="D2:H2"/>
    <mergeCell ref="M2:M40"/>
    <mergeCell ref="D4:F4"/>
    <mergeCell ref="H4:J4"/>
    <mergeCell ref="B7:D7"/>
    <mergeCell ref="F7:L7"/>
    <mergeCell ref="F9:H9"/>
    <mergeCell ref="J9:L9"/>
    <mergeCell ref="F11:H11"/>
    <mergeCell ref="J11:L11"/>
    <mergeCell ref="F13:H13"/>
    <mergeCell ref="J13:L13"/>
    <mergeCell ref="B15:D15"/>
    <mergeCell ref="F15:L15"/>
  </mergeCells>
  <dataValidations count="9">
    <dataValidation type="list" allowBlank="1" showInputMessage="1" showErrorMessage="1" sqref="J13:L13">
      <formula1>Morale</formula1>
    </dataValidation>
    <dataValidation type="list" allowBlank="1" showInputMessage="1" showErrorMessage="1" sqref="L39">
      <formula1>CHA</formula1>
    </dataValidation>
    <dataValidation type="list" allowBlank="1" showInputMessage="1" showErrorMessage="1" sqref="B17:D17 B19:D19 B21:D21 B23:D23">
      <formula1>Tactics</formula1>
    </dataValidation>
    <dataValidation type="list" allowBlank="1" showInputMessage="1" showErrorMessage="1" sqref="L4">
      <formula1>Active</formula1>
    </dataValidation>
    <dataValidation type="list" allowBlank="1" showInputMessage="1" showErrorMessage="1" sqref="B31:D31 B33:D33 B35:D35 B37:D37 B39:D39">
      <formula1>Abilities</formula1>
    </dataValidation>
    <dataValidation type="list" allowBlank="1" showInputMessage="1" showErrorMessage="1" sqref="F17:L17 F21:L21 F19:L19 F23:L23">
      <formula1>Resources</formula1>
    </dataValidation>
    <dataValidation type="list" allowBlank="1" showInputMessage="1" showErrorMessage="1" sqref="D4">
      <formula1>Size</formula1>
    </dataValidation>
    <dataValidation type="list" allowBlank="1" showInputMessage="1" showErrorMessage="1" sqref="L25">
      <formula1>CR</formula1>
    </dataValidation>
    <dataValidation type="list" allowBlank="1" showInputMessage="1" showErrorMessage="1" sqref="L26 J27:L27">
      <formula1>HD</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R95"/>
  <sheetViews>
    <sheetView workbookViewId="0">
      <selection activeCell="B23" sqref="B23:D23"/>
    </sheetView>
  </sheetViews>
  <sheetFormatPr defaultRowHeight="15" x14ac:dyDescent="0.25"/>
  <cols>
    <col min="1" max="1" width="0.85546875" customWidth="1"/>
    <col min="2" max="2" width="18.7109375" customWidth="1"/>
    <col min="3" max="3" width="0.85546875" style="11" customWidth="1"/>
    <col min="4" max="4" width="10.7109375" customWidth="1"/>
    <col min="5" max="5" width="0.85546875" style="5" customWidth="1"/>
    <col min="6" max="6" width="8.28515625" customWidth="1"/>
    <col min="7" max="7" width="0.85546875" style="11" customWidth="1"/>
    <col min="8" max="8" width="10.7109375" style="11" customWidth="1"/>
    <col min="9" max="9" width="0.85546875" style="11" customWidth="1"/>
    <col min="10" max="10" width="4.7109375" style="11" customWidth="1"/>
    <col min="11" max="11" width="0.85546875" style="11" customWidth="1"/>
    <col min="12" max="12" width="5.7109375" style="11" customWidth="1"/>
    <col min="13" max="13" width="0.85546875" style="11" customWidth="1"/>
    <col min="15" max="15" width="0.85546875" customWidth="1"/>
    <col min="17" max="17" width="0.85546875" customWidth="1"/>
  </cols>
  <sheetData>
    <row r="1" spans="1:16" ht="5.0999999999999996" customHeight="1" thickBot="1" x14ac:dyDescent="0.3">
      <c r="A1" s="500"/>
      <c r="B1" s="501"/>
      <c r="C1" s="501"/>
      <c r="D1" s="501"/>
      <c r="E1" s="501"/>
      <c r="F1" s="501"/>
      <c r="G1" s="501"/>
      <c r="H1" s="501"/>
      <c r="I1" s="501"/>
      <c r="J1" s="501"/>
      <c r="K1" s="501"/>
      <c r="L1" s="501"/>
      <c r="M1" s="502"/>
      <c r="N1" s="130"/>
      <c r="O1" s="130"/>
      <c r="P1" s="130"/>
    </row>
    <row r="2" spans="1:16" ht="15.75" thickBot="1" x14ac:dyDescent="0.3">
      <c r="A2" s="480"/>
      <c r="B2" s="131" t="s">
        <v>83</v>
      </c>
      <c r="C2" s="132"/>
      <c r="D2" s="455"/>
      <c r="E2" s="372"/>
      <c r="F2" s="372"/>
      <c r="G2" s="372"/>
      <c r="H2" s="373"/>
      <c r="I2" s="111"/>
      <c r="J2" s="131" t="s">
        <v>187</v>
      </c>
      <c r="K2" s="97"/>
      <c r="L2" s="152">
        <f>IF(D4="Fine",(L25-8),(IF(D4="Dimunitive",(L25-6),(IF(D4="Tiny",(L25-4),(IF(D4="Small",(L25-2),(IF(D4="Medium",(L25),(IF(D4="Large",(L25+2),(IF(D4="Huge",(L25+4),(IF(D4="Gargantuan",(L25+6),(IF(D4="Colossal",(L25+8),0)))))))))))))))))</f>
        <v>0</v>
      </c>
      <c r="M2" s="497"/>
      <c r="N2" s="130"/>
      <c r="O2" s="130"/>
      <c r="P2" s="130"/>
    </row>
    <row r="3" spans="1:16" s="1" customFormat="1" ht="3" customHeight="1" thickBot="1" x14ac:dyDescent="0.3">
      <c r="A3" s="495"/>
      <c r="B3" s="132"/>
      <c r="C3" s="132"/>
      <c r="D3" s="133"/>
      <c r="E3" s="134"/>
      <c r="F3" s="132"/>
      <c r="G3" s="132"/>
      <c r="H3" s="132"/>
      <c r="I3" s="132"/>
      <c r="J3" s="132"/>
      <c r="K3" s="132"/>
      <c r="L3" s="134"/>
      <c r="M3" s="498"/>
      <c r="N3" s="135"/>
      <c r="O3" s="135"/>
      <c r="P3" s="135"/>
    </row>
    <row r="4" spans="1:16" ht="15.75" thickBot="1" x14ac:dyDescent="0.3">
      <c r="A4" s="495"/>
      <c r="B4" s="131" t="s">
        <v>43</v>
      </c>
      <c r="C4" s="132"/>
      <c r="D4" s="455"/>
      <c r="E4" s="372"/>
      <c r="F4" s="372"/>
      <c r="G4" s="136"/>
      <c r="H4" s="496" t="s">
        <v>255</v>
      </c>
      <c r="I4" s="495"/>
      <c r="J4" s="495"/>
      <c r="K4" s="134"/>
      <c r="L4" s="129"/>
      <c r="M4" s="498"/>
      <c r="N4" s="130"/>
      <c r="O4" s="130"/>
      <c r="P4" s="130"/>
    </row>
    <row r="5" spans="1:16" s="1" customFormat="1" ht="3" customHeight="1" x14ac:dyDescent="0.25">
      <c r="A5" s="495"/>
      <c r="B5" s="132"/>
      <c r="C5" s="132"/>
      <c r="D5" s="137"/>
      <c r="E5" s="137"/>
      <c r="F5" s="134"/>
      <c r="G5" s="134"/>
      <c r="H5" s="134"/>
      <c r="I5" s="134"/>
      <c r="J5" s="134"/>
      <c r="K5" s="134"/>
      <c r="L5" s="134"/>
      <c r="M5" s="498"/>
      <c r="N5" s="135"/>
      <c r="O5" s="135"/>
      <c r="P5" s="135"/>
    </row>
    <row r="6" spans="1:16" s="1" customFormat="1" ht="3" customHeight="1" x14ac:dyDescent="0.25">
      <c r="A6" s="495"/>
      <c r="B6" s="132"/>
      <c r="C6" s="132"/>
      <c r="D6" s="137"/>
      <c r="E6" s="137"/>
      <c r="F6" s="134"/>
      <c r="G6" s="134"/>
      <c r="H6" s="134"/>
      <c r="I6" s="134"/>
      <c r="J6" s="134"/>
      <c r="K6" s="134"/>
      <c r="L6" s="134"/>
      <c r="M6" s="498"/>
      <c r="N6" s="135"/>
      <c r="O6" s="135"/>
      <c r="P6" s="135"/>
    </row>
    <row r="7" spans="1:16" x14ac:dyDescent="0.25">
      <c r="A7" s="495"/>
      <c r="B7" s="408" t="s">
        <v>182</v>
      </c>
      <c r="C7" s="480"/>
      <c r="D7" s="480"/>
      <c r="E7" s="138"/>
      <c r="F7" s="408" t="s">
        <v>183</v>
      </c>
      <c r="G7" s="480"/>
      <c r="H7" s="480"/>
      <c r="I7" s="480"/>
      <c r="J7" s="480"/>
      <c r="K7" s="480"/>
      <c r="L7" s="480"/>
      <c r="M7" s="498"/>
      <c r="N7" s="130"/>
      <c r="O7" s="130"/>
      <c r="P7" s="130"/>
    </row>
    <row r="8" spans="1:16" ht="3" customHeight="1" thickBot="1" x14ac:dyDescent="0.3">
      <c r="A8" s="495"/>
      <c r="B8" s="139"/>
      <c r="C8" s="134"/>
      <c r="D8" s="139"/>
      <c r="E8" s="139"/>
      <c r="F8" s="139"/>
      <c r="G8" s="134"/>
      <c r="H8" s="134"/>
      <c r="I8" s="134"/>
      <c r="J8" s="134"/>
      <c r="K8" s="134"/>
      <c r="L8" s="134"/>
      <c r="M8" s="498"/>
      <c r="N8" s="130"/>
      <c r="O8" s="130"/>
      <c r="P8" s="130"/>
    </row>
    <row r="9" spans="1:16" ht="15.75" thickBot="1" x14ac:dyDescent="0.3">
      <c r="A9" s="495"/>
      <c r="B9" s="112" t="s">
        <v>185</v>
      </c>
      <c r="C9" s="140"/>
      <c r="D9" s="60">
        <f>ROUNDDOWN((L2*((J27+1)/2)),0)</f>
        <v>0</v>
      </c>
      <c r="E9" s="138"/>
      <c r="F9" s="479" t="s">
        <v>184</v>
      </c>
      <c r="G9" s="480"/>
      <c r="H9" s="480"/>
      <c r="I9" s="138"/>
      <c r="J9" s="391">
        <f>ROUNDDOWN(D27/15,0)</f>
        <v>0</v>
      </c>
      <c r="K9" s="392"/>
      <c r="L9" s="393"/>
      <c r="M9" s="498"/>
      <c r="N9" s="130"/>
      <c r="O9" s="130"/>
      <c r="P9" s="130"/>
    </row>
    <row r="10" spans="1:16" ht="3" customHeight="1" thickBot="1" x14ac:dyDescent="0.3">
      <c r="A10" s="495"/>
      <c r="B10" s="111"/>
      <c r="C10" s="134"/>
      <c r="D10" s="139"/>
      <c r="E10" s="139"/>
      <c r="F10" s="139"/>
      <c r="G10" s="134"/>
      <c r="H10" s="111"/>
      <c r="I10" s="134"/>
      <c r="J10" s="137"/>
      <c r="K10" s="137"/>
      <c r="L10" s="137"/>
      <c r="M10" s="498"/>
      <c r="N10" s="130"/>
      <c r="O10" s="130"/>
      <c r="P10" s="130"/>
    </row>
    <row r="11" spans="1:16" ht="15.75" thickBot="1" x14ac:dyDescent="0.3">
      <c r="A11" s="495"/>
      <c r="B11" s="112" t="s">
        <v>193</v>
      </c>
      <c r="C11" s="140"/>
      <c r="D11" s="60">
        <f>L2+L57+L72+L91</f>
        <v>0</v>
      </c>
      <c r="E11" s="138"/>
      <c r="F11" s="479" t="s">
        <v>63</v>
      </c>
      <c r="G11" s="480"/>
      <c r="H11" s="480"/>
      <c r="I11" s="138"/>
      <c r="J11" s="391">
        <f>IF(L2=0,0,IF(((L2/2)+R57+R72+R91)&lt;1,1,ROUNDUP(((L2/2)+R57+R72+R91),0)))</f>
        <v>0</v>
      </c>
      <c r="K11" s="392"/>
      <c r="L11" s="393"/>
      <c r="M11" s="498"/>
      <c r="N11" s="130"/>
      <c r="O11" s="130"/>
      <c r="P11" s="130"/>
    </row>
    <row r="12" spans="1:16" ht="3" customHeight="1" thickBot="1" x14ac:dyDescent="0.3">
      <c r="A12" s="495"/>
      <c r="B12" s="111"/>
      <c r="C12" s="134"/>
      <c r="D12" s="139"/>
      <c r="E12" s="139"/>
      <c r="F12" s="139"/>
      <c r="G12" s="134"/>
      <c r="H12" s="111"/>
      <c r="I12" s="134"/>
      <c r="J12" s="137"/>
      <c r="K12" s="137"/>
      <c r="L12" s="137"/>
      <c r="M12" s="498"/>
      <c r="N12" s="130"/>
      <c r="O12" s="130"/>
      <c r="P12" s="130"/>
    </row>
    <row r="13" spans="1:16" ht="15.75" thickBot="1" x14ac:dyDescent="0.3">
      <c r="A13" s="495"/>
      <c r="B13" s="112" t="s">
        <v>194</v>
      </c>
      <c r="C13" s="140"/>
      <c r="D13" s="60">
        <f>10+L2+N57+N72+N91</f>
        <v>10</v>
      </c>
      <c r="E13" s="138"/>
      <c r="F13" s="479" t="s">
        <v>269</v>
      </c>
      <c r="G13" s="480"/>
      <c r="H13" s="480"/>
      <c r="I13" s="138"/>
      <c r="J13" s="505"/>
      <c r="K13" s="506"/>
      <c r="L13" s="507"/>
      <c r="M13" s="498"/>
      <c r="N13" s="130"/>
      <c r="O13" s="130"/>
      <c r="P13" s="130"/>
    </row>
    <row r="14" spans="1:16" ht="3" customHeight="1" x14ac:dyDescent="0.25">
      <c r="A14" s="495"/>
      <c r="B14" s="139"/>
      <c r="C14" s="134"/>
      <c r="D14" s="139"/>
      <c r="E14" s="139"/>
      <c r="F14" s="139"/>
      <c r="G14" s="134"/>
      <c r="H14" s="134"/>
      <c r="I14" s="134"/>
      <c r="J14" s="134"/>
      <c r="K14" s="134"/>
      <c r="L14" s="134"/>
      <c r="M14" s="498"/>
      <c r="N14" s="130"/>
      <c r="O14" s="130"/>
      <c r="P14" s="130"/>
    </row>
    <row r="15" spans="1:16" x14ac:dyDescent="0.25">
      <c r="A15" s="495"/>
      <c r="B15" s="408" t="s">
        <v>186</v>
      </c>
      <c r="C15" s="480"/>
      <c r="D15" s="480"/>
      <c r="E15" s="138"/>
      <c r="F15" s="408" t="s">
        <v>56</v>
      </c>
      <c r="G15" s="480"/>
      <c r="H15" s="480"/>
      <c r="I15" s="480"/>
      <c r="J15" s="480"/>
      <c r="K15" s="480"/>
      <c r="L15" s="480"/>
      <c r="M15" s="498"/>
      <c r="N15" s="130"/>
      <c r="O15" s="130"/>
      <c r="P15" s="130"/>
    </row>
    <row r="16" spans="1:16" s="5" customFormat="1" ht="3" customHeight="1" thickBot="1" x14ac:dyDescent="0.3">
      <c r="A16" s="495"/>
      <c r="B16" s="141"/>
      <c r="C16" s="141"/>
      <c r="D16" s="141"/>
      <c r="E16" s="141"/>
      <c r="F16" s="141"/>
      <c r="G16" s="141"/>
      <c r="H16" s="141"/>
      <c r="I16" s="141"/>
      <c r="J16" s="141"/>
      <c r="K16" s="141"/>
      <c r="L16" s="141"/>
      <c r="M16" s="498"/>
      <c r="N16" s="139"/>
      <c r="O16" s="139"/>
      <c r="P16" s="139"/>
    </row>
    <row r="17" spans="1:16" s="5" customFormat="1" ht="15.75" thickBot="1" x14ac:dyDescent="0.3">
      <c r="A17" s="495"/>
      <c r="B17" s="481"/>
      <c r="C17" s="482"/>
      <c r="D17" s="483"/>
      <c r="E17" s="141"/>
      <c r="F17" s="481"/>
      <c r="G17" s="482"/>
      <c r="H17" s="482"/>
      <c r="I17" s="482"/>
      <c r="J17" s="482"/>
      <c r="K17" s="482"/>
      <c r="L17" s="483"/>
      <c r="M17" s="498"/>
      <c r="N17" s="139"/>
      <c r="O17" s="139"/>
      <c r="P17" s="139"/>
    </row>
    <row r="18" spans="1:16" s="5" customFormat="1" ht="3" customHeight="1" thickBot="1" x14ac:dyDescent="0.3">
      <c r="A18" s="495"/>
      <c r="B18" s="141"/>
      <c r="C18" s="141"/>
      <c r="D18" s="141"/>
      <c r="E18" s="141"/>
      <c r="F18" s="141"/>
      <c r="G18" s="141"/>
      <c r="H18" s="141"/>
      <c r="I18" s="141"/>
      <c r="J18" s="141"/>
      <c r="K18" s="141"/>
      <c r="L18" s="141"/>
      <c r="M18" s="498"/>
      <c r="N18" s="139"/>
      <c r="O18" s="139"/>
      <c r="P18" s="139"/>
    </row>
    <row r="19" spans="1:16" s="5" customFormat="1" ht="15.75" thickBot="1" x14ac:dyDescent="0.3">
      <c r="A19" s="495"/>
      <c r="B19" s="476"/>
      <c r="C19" s="477"/>
      <c r="D19" s="478"/>
      <c r="E19" s="141"/>
      <c r="F19" s="481"/>
      <c r="G19" s="482"/>
      <c r="H19" s="482"/>
      <c r="I19" s="482"/>
      <c r="J19" s="482"/>
      <c r="K19" s="482"/>
      <c r="L19" s="483"/>
      <c r="M19" s="498"/>
      <c r="N19" s="139"/>
      <c r="O19" s="139"/>
      <c r="P19" s="139"/>
    </row>
    <row r="20" spans="1:16" s="5" customFormat="1" ht="3" customHeight="1" thickBot="1" x14ac:dyDescent="0.3">
      <c r="A20" s="495"/>
      <c r="B20" s="141"/>
      <c r="C20" s="141"/>
      <c r="D20" s="141"/>
      <c r="E20" s="141"/>
      <c r="F20" s="141"/>
      <c r="G20" s="141"/>
      <c r="H20" s="141"/>
      <c r="I20" s="141"/>
      <c r="J20" s="141"/>
      <c r="K20" s="141"/>
      <c r="L20" s="141"/>
      <c r="M20" s="498"/>
      <c r="N20" s="139"/>
      <c r="O20" s="139"/>
      <c r="P20" s="139"/>
    </row>
    <row r="21" spans="1:16" s="5" customFormat="1" ht="15.75" thickBot="1" x14ac:dyDescent="0.3">
      <c r="A21" s="495"/>
      <c r="B21" s="476"/>
      <c r="C21" s="477"/>
      <c r="D21" s="478"/>
      <c r="E21" s="141"/>
      <c r="F21" s="481"/>
      <c r="G21" s="482"/>
      <c r="H21" s="482"/>
      <c r="I21" s="482"/>
      <c r="J21" s="482"/>
      <c r="K21" s="482"/>
      <c r="L21" s="483"/>
      <c r="M21" s="498"/>
      <c r="N21" s="139"/>
      <c r="O21" s="139"/>
      <c r="P21" s="139"/>
    </row>
    <row r="22" spans="1:16" s="5" customFormat="1" ht="3" customHeight="1" thickBot="1" x14ac:dyDescent="0.3">
      <c r="A22" s="495"/>
      <c r="B22" s="141"/>
      <c r="C22" s="141"/>
      <c r="D22" s="141"/>
      <c r="E22" s="141"/>
      <c r="F22" s="141"/>
      <c r="G22" s="141"/>
      <c r="H22" s="141"/>
      <c r="I22" s="141"/>
      <c r="J22" s="141"/>
      <c r="K22" s="141"/>
      <c r="L22" s="141"/>
      <c r="M22" s="498"/>
      <c r="N22" s="139"/>
      <c r="O22" s="139"/>
      <c r="P22" s="139"/>
    </row>
    <row r="23" spans="1:16" s="5" customFormat="1" ht="15.75" thickBot="1" x14ac:dyDescent="0.3">
      <c r="A23" s="495"/>
      <c r="B23" s="476"/>
      <c r="C23" s="477"/>
      <c r="D23" s="478"/>
      <c r="E23" s="141"/>
      <c r="F23" s="481"/>
      <c r="G23" s="482"/>
      <c r="H23" s="482"/>
      <c r="I23" s="482"/>
      <c r="J23" s="482"/>
      <c r="K23" s="482"/>
      <c r="L23" s="483"/>
      <c r="M23" s="498"/>
      <c r="N23" s="139"/>
      <c r="O23" s="139"/>
      <c r="P23" s="139"/>
    </row>
    <row r="24" spans="1:16" ht="3" customHeight="1" thickBot="1" x14ac:dyDescent="0.3">
      <c r="A24" s="495"/>
      <c r="B24" s="142"/>
      <c r="C24" s="143"/>
      <c r="D24" s="142"/>
      <c r="E24" s="142"/>
      <c r="F24" s="142"/>
      <c r="G24" s="143"/>
      <c r="H24" s="143"/>
      <c r="I24" s="134"/>
      <c r="J24" s="143"/>
      <c r="K24" s="134"/>
      <c r="L24" s="143"/>
      <c r="M24" s="498"/>
      <c r="N24" s="130"/>
      <c r="O24" s="130"/>
      <c r="P24" s="130"/>
    </row>
    <row r="25" spans="1:16" ht="15.75" thickBot="1" x14ac:dyDescent="0.3">
      <c r="A25" s="495"/>
      <c r="B25" s="131" t="s">
        <v>191</v>
      </c>
      <c r="C25" s="132"/>
      <c r="D25" s="455"/>
      <c r="E25" s="372"/>
      <c r="F25" s="372"/>
      <c r="G25" s="372"/>
      <c r="H25" s="373"/>
      <c r="I25" s="144"/>
      <c r="J25" s="131" t="s">
        <v>187</v>
      </c>
      <c r="K25" s="144"/>
      <c r="L25" s="102"/>
      <c r="M25" s="498"/>
      <c r="N25" s="130"/>
      <c r="O25" s="130"/>
      <c r="P25" s="130"/>
    </row>
    <row r="26" spans="1:16" ht="3" customHeight="1" thickBot="1" x14ac:dyDescent="0.3">
      <c r="A26" s="495"/>
      <c r="B26" s="139"/>
      <c r="C26" s="134"/>
      <c r="D26" s="139"/>
      <c r="E26" s="138"/>
      <c r="F26" s="139"/>
      <c r="G26" s="134"/>
      <c r="H26" s="134"/>
      <c r="I26" s="134"/>
      <c r="J26" s="145" t="s">
        <v>192</v>
      </c>
      <c r="K26" s="144"/>
      <c r="L26" s="146"/>
      <c r="M26" s="498"/>
      <c r="N26" s="130"/>
      <c r="O26" s="130"/>
      <c r="P26" s="130"/>
    </row>
    <row r="27" spans="1:16" ht="15.75" thickBot="1" x14ac:dyDescent="0.3">
      <c r="A27" s="495"/>
      <c r="B27" s="112" t="s">
        <v>184</v>
      </c>
      <c r="C27" s="140"/>
      <c r="D27" s="57"/>
      <c r="E27" s="138"/>
      <c r="F27" s="479" t="s">
        <v>205</v>
      </c>
      <c r="G27" s="480"/>
      <c r="H27" s="480"/>
      <c r="I27" s="138"/>
      <c r="J27" s="371"/>
      <c r="K27" s="372"/>
      <c r="L27" s="373"/>
      <c r="M27" s="498"/>
      <c r="N27" s="130"/>
      <c r="O27" s="130"/>
      <c r="P27" s="130"/>
    </row>
    <row r="28" spans="1:16" s="5" customFormat="1" ht="3" customHeight="1" x14ac:dyDescent="0.25">
      <c r="A28" s="495"/>
      <c r="B28" s="141"/>
      <c r="C28" s="141"/>
      <c r="D28" s="141">
        <v>50</v>
      </c>
      <c r="E28" s="141"/>
      <c r="F28" s="141"/>
      <c r="G28" s="141"/>
      <c r="H28" s="141"/>
      <c r="I28" s="141"/>
      <c r="J28" s="141"/>
      <c r="K28" s="141"/>
      <c r="L28" s="141"/>
      <c r="M28" s="498"/>
      <c r="N28" s="139"/>
      <c r="O28" s="139"/>
      <c r="P28" s="139"/>
    </row>
    <row r="29" spans="1:16" x14ac:dyDescent="0.25">
      <c r="A29" s="495"/>
      <c r="B29" s="408" t="s">
        <v>189</v>
      </c>
      <c r="C29" s="480"/>
      <c r="D29" s="480"/>
      <c r="E29" s="138"/>
      <c r="F29" s="408" t="s">
        <v>190</v>
      </c>
      <c r="G29" s="480"/>
      <c r="H29" s="480"/>
      <c r="I29" s="480"/>
      <c r="J29" s="480"/>
      <c r="K29" s="480"/>
      <c r="L29" s="480"/>
      <c r="M29" s="498"/>
      <c r="N29" s="130"/>
      <c r="O29" s="130"/>
      <c r="P29" s="130"/>
    </row>
    <row r="30" spans="1:16" s="5" customFormat="1" ht="3" customHeight="1" thickBot="1" x14ac:dyDescent="0.3">
      <c r="A30" s="495"/>
      <c r="B30" s="141"/>
      <c r="C30" s="141"/>
      <c r="D30" s="141"/>
      <c r="E30" s="141"/>
      <c r="F30" s="141"/>
      <c r="G30" s="141"/>
      <c r="H30" s="141"/>
      <c r="I30" s="141"/>
      <c r="J30" s="141"/>
      <c r="K30" s="141"/>
      <c r="L30" s="141"/>
      <c r="M30" s="498"/>
      <c r="N30" s="139"/>
      <c r="O30" s="139"/>
      <c r="P30" s="139"/>
    </row>
    <row r="31" spans="1:16" s="5" customFormat="1" ht="15.75" thickBot="1" x14ac:dyDescent="0.3">
      <c r="A31" s="495"/>
      <c r="B31" s="481"/>
      <c r="C31" s="482"/>
      <c r="D31" s="483"/>
      <c r="E31" s="141"/>
      <c r="F31" s="484"/>
      <c r="G31" s="485"/>
      <c r="H31" s="485"/>
      <c r="I31" s="485"/>
      <c r="J31" s="485"/>
      <c r="K31" s="485"/>
      <c r="L31" s="486"/>
      <c r="M31" s="498"/>
      <c r="N31" s="139"/>
      <c r="O31" s="139"/>
      <c r="P31" s="139"/>
    </row>
    <row r="32" spans="1:16" s="5" customFormat="1" ht="3" customHeight="1" thickBot="1" x14ac:dyDescent="0.3">
      <c r="A32" s="495"/>
      <c r="B32" s="141"/>
      <c r="C32" s="141"/>
      <c r="D32" s="141"/>
      <c r="E32" s="141"/>
      <c r="F32" s="487"/>
      <c r="G32" s="488"/>
      <c r="H32" s="488"/>
      <c r="I32" s="488"/>
      <c r="J32" s="488"/>
      <c r="K32" s="488"/>
      <c r="L32" s="489"/>
      <c r="M32" s="498"/>
      <c r="N32" s="139"/>
      <c r="O32" s="139"/>
      <c r="P32" s="139"/>
    </row>
    <row r="33" spans="1:18" s="5" customFormat="1" ht="15.75" thickBot="1" x14ac:dyDescent="0.3">
      <c r="A33" s="495"/>
      <c r="B33" s="481"/>
      <c r="C33" s="482"/>
      <c r="D33" s="483"/>
      <c r="E33" s="141"/>
      <c r="F33" s="487"/>
      <c r="G33" s="488"/>
      <c r="H33" s="488"/>
      <c r="I33" s="488"/>
      <c r="J33" s="488"/>
      <c r="K33" s="488"/>
      <c r="L33" s="489"/>
      <c r="M33" s="498"/>
      <c r="N33" s="139"/>
      <c r="O33" s="139"/>
      <c r="P33" s="139"/>
    </row>
    <row r="34" spans="1:18" s="5" customFormat="1" ht="3" customHeight="1" thickBot="1" x14ac:dyDescent="0.3">
      <c r="A34" s="495"/>
      <c r="B34" s="141"/>
      <c r="C34" s="141"/>
      <c r="D34" s="141"/>
      <c r="E34" s="141"/>
      <c r="F34" s="487"/>
      <c r="G34" s="488"/>
      <c r="H34" s="488"/>
      <c r="I34" s="488"/>
      <c r="J34" s="488"/>
      <c r="K34" s="488"/>
      <c r="L34" s="489"/>
      <c r="M34" s="498"/>
      <c r="N34" s="139"/>
      <c r="O34" s="139"/>
      <c r="P34" s="139"/>
    </row>
    <row r="35" spans="1:18" s="5" customFormat="1" ht="15.75" thickBot="1" x14ac:dyDescent="0.3">
      <c r="A35" s="495"/>
      <c r="B35" s="481"/>
      <c r="C35" s="482"/>
      <c r="D35" s="483"/>
      <c r="E35" s="141"/>
      <c r="F35" s="487"/>
      <c r="G35" s="488"/>
      <c r="H35" s="488"/>
      <c r="I35" s="488"/>
      <c r="J35" s="488"/>
      <c r="K35" s="488"/>
      <c r="L35" s="489"/>
      <c r="M35" s="498"/>
      <c r="N35" s="139"/>
      <c r="O35" s="139"/>
      <c r="P35" s="139"/>
    </row>
    <row r="36" spans="1:18" s="5" customFormat="1" ht="3" customHeight="1" thickBot="1" x14ac:dyDescent="0.3">
      <c r="A36" s="495"/>
      <c r="B36" s="147"/>
      <c r="C36" s="147"/>
      <c r="D36" s="147"/>
      <c r="E36" s="141"/>
      <c r="F36" s="487"/>
      <c r="G36" s="490"/>
      <c r="H36" s="490"/>
      <c r="I36" s="490"/>
      <c r="J36" s="490"/>
      <c r="K36" s="490"/>
      <c r="L36" s="489"/>
      <c r="M36" s="498"/>
      <c r="N36" s="139"/>
      <c r="O36" s="139"/>
      <c r="P36" s="139"/>
    </row>
    <row r="37" spans="1:18" s="5" customFormat="1" ht="15.75" thickBot="1" x14ac:dyDescent="0.3">
      <c r="A37" s="495"/>
      <c r="B37" s="481"/>
      <c r="C37" s="482"/>
      <c r="D37" s="483"/>
      <c r="E37" s="141"/>
      <c r="F37" s="491"/>
      <c r="G37" s="492"/>
      <c r="H37" s="492"/>
      <c r="I37" s="492"/>
      <c r="J37" s="492"/>
      <c r="K37" s="492"/>
      <c r="L37" s="493"/>
      <c r="M37" s="498"/>
      <c r="N37" s="139"/>
      <c r="O37" s="139"/>
      <c r="P37" s="139"/>
    </row>
    <row r="38" spans="1:18" s="5" customFormat="1" ht="3" customHeight="1" thickBot="1" x14ac:dyDescent="0.3">
      <c r="A38" s="495"/>
      <c r="B38" s="147"/>
      <c r="C38" s="147"/>
      <c r="D38" s="147"/>
      <c r="E38" s="141"/>
      <c r="F38" s="148"/>
      <c r="G38" s="148"/>
      <c r="H38" s="148"/>
      <c r="I38" s="148"/>
      <c r="J38" s="148"/>
      <c r="K38" s="148"/>
      <c r="L38" s="148"/>
      <c r="M38" s="498"/>
      <c r="N38" s="139"/>
      <c r="O38" s="139"/>
      <c r="P38" s="139"/>
    </row>
    <row r="39" spans="1:18" s="5" customFormat="1" ht="15.75" thickBot="1" x14ac:dyDescent="0.3">
      <c r="A39" s="495"/>
      <c r="B39" s="481"/>
      <c r="C39" s="482"/>
      <c r="D39" s="483"/>
      <c r="E39" s="141"/>
      <c r="F39" s="494" t="s">
        <v>256</v>
      </c>
      <c r="G39" s="495"/>
      <c r="H39" s="495"/>
      <c r="I39" s="495"/>
      <c r="J39" s="495"/>
      <c r="K39" s="148"/>
      <c r="L39" s="104"/>
      <c r="M39" s="498"/>
      <c r="N39" s="139"/>
      <c r="O39" s="139"/>
      <c r="P39" s="139"/>
    </row>
    <row r="40" spans="1:18" ht="3" customHeight="1" thickBot="1" x14ac:dyDescent="0.3">
      <c r="A40" s="503"/>
      <c r="B40" s="504"/>
      <c r="C40" s="504"/>
      <c r="D40" s="504"/>
      <c r="E40" s="504"/>
      <c r="F40" s="504"/>
      <c r="G40" s="504"/>
      <c r="H40" s="504"/>
      <c r="I40" s="504"/>
      <c r="J40" s="504"/>
      <c r="K40" s="504"/>
      <c r="L40" s="504"/>
      <c r="M40" s="499"/>
      <c r="N40" s="130"/>
      <c r="O40" s="130"/>
      <c r="P40" s="130"/>
    </row>
    <row r="41" spans="1:18" ht="3" hidden="1" customHeight="1" x14ac:dyDescent="0.25">
      <c r="A41" s="139"/>
      <c r="B41" s="139"/>
      <c r="C41" s="134"/>
      <c r="D41" s="139"/>
      <c r="E41" s="139"/>
      <c r="F41" s="139"/>
      <c r="G41" s="134"/>
      <c r="H41" s="134"/>
      <c r="I41" s="134"/>
      <c r="J41" s="134"/>
      <c r="K41" s="134"/>
      <c r="L41" s="134"/>
      <c r="M41" s="134"/>
      <c r="N41" s="130"/>
      <c r="O41" s="130"/>
      <c r="P41" s="130"/>
    </row>
    <row r="42" spans="1:18" ht="3" hidden="1" customHeight="1" x14ac:dyDescent="0.25">
      <c r="A42" s="139"/>
      <c r="B42" s="139"/>
      <c r="C42" s="134"/>
      <c r="D42" s="139"/>
      <c r="E42" s="139"/>
      <c r="F42" s="139"/>
      <c r="G42" s="134"/>
      <c r="H42" s="134"/>
      <c r="I42" s="134"/>
      <c r="J42" s="134"/>
      <c r="K42" s="134"/>
      <c r="L42" s="134"/>
      <c r="M42" s="134"/>
      <c r="N42" s="130"/>
      <c r="O42" s="130"/>
      <c r="P42" s="130"/>
    </row>
    <row r="43" spans="1:18" hidden="1" x14ac:dyDescent="0.25">
      <c r="A43" s="130"/>
      <c r="B43" s="130"/>
      <c r="C43" s="134"/>
      <c r="D43" s="130" t="s">
        <v>260</v>
      </c>
      <c r="E43" s="139"/>
      <c r="F43" s="130" t="s">
        <v>95</v>
      </c>
      <c r="G43" s="134"/>
      <c r="H43" s="134" t="s">
        <v>188</v>
      </c>
      <c r="I43" s="134"/>
      <c r="J43" s="134" t="s">
        <v>261</v>
      </c>
      <c r="K43" s="134"/>
      <c r="L43" s="130" t="s">
        <v>260</v>
      </c>
      <c r="M43" s="139"/>
      <c r="N43" s="130" t="s">
        <v>95</v>
      </c>
      <c r="O43" s="134"/>
      <c r="P43" s="134" t="s">
        <v>188</v>
      </c>
      <c r="Q43" s="11"/>
      <c r="R43" s="11" t="s">
        <v>261</v>
      </c>
    </row>
    <row r="44" spans="1:18" hidden="1" x14ac:dyDescent="0.25">
      <c r="A44" s="130"/>
      <c r="B44" s="149" t="s">
        <v>186</v>
      </c>
      <c r="C44" s="130"/>
      <c r="D44" s="130"/>
      <c r="E44" s="139"/>
      <c r="F44" s="130"/>
      <c r="G44" s="134"/>
      <c r="H44" s="134"/>
      <c r="I44" s="134"/>
      <c r="J44" s="134"/>
      <c r="K44" s="134"/>
      <c r="L44" s="130"/>
      <c r="M44" s="139"/>
      <c r="N44" s="130"/>
      <c r="O44" s="134"/>
      <c r="P44" s="134"/>
      <c r="Q44" s="11"/>
      <c r="R44" s="11"/>
    </row>
    <row r="45" spans="1:18" hidden="1" x14ac:dyDescent="0.25">
      <c r="A45" s="130"/>
      <c r="B45" s="150" t="s">
        <v>216</v>
      </c>
      <c r="C45" s="130"/>
      <c r="D45" s="130">
        <v>-2</v>
      </c>
      <c r="E45" s="139"/>
      <c r="F45" s="130"/>
      <c r="G45" s="134"/>
      <c r="H45" s="134">
        <v>2</v>
      </c>
      <c r="I45" s="134"/>
      <c r="J45" s="134"/>
      <c r="K45" s="134"/>
      <c r="L45" s="130">
        <f>IF($B$17=$B45,D45,0)</f>
        <v>0</v>
      </c>
      <c r="M45" s="139"/>
      <c r="N45" s="130">
        <f>IF($B$17=$B45,F45,0)</f>
        <v>0</v>
      </c>
      <c r="O45" s="134"/>
      <c r="P45" s="130">
        <f>IF($B$17=$B45,H45,0)</f>
        <v>0</v>
      </c>
      <c r="Q45" s="11"/>
      <c r="R45">
        <f>IF($B$17=$B45,J45,0)</f>
        <v>0</v>
      </c>
    </row>
    <row r="46" spans="1:18" hidden="1" x14ac:dyDescent="0.25">
      <c r="A46" s="130"/>
      <c r="B46" s="150" t="s">
        <v>217</v>
      </c>
      <c r="C46" s="130"/>
      <c r="D46" s="130"/>
      <c r="E46" s="139"/>
      <c r="F46" s="130"/>
      <c r="G46" s="134"/>
      <c r="H46" s="134"/>
      <c r="I46" s="134"/>
      <c r="J46" s="134"/>
      <c r="K46" s="134"/>
      <c r="L46" s="130">
        <f t="shared" ref="L46:L56" si="0">IF($B$17=B46,D46,0)</f>
        <v>0</v>
      </c>
      <c r="M46" s="139"/>
      <c r="N46" s="130">
        <f t="shared" ref="N46:R56" si="1">IF($B$17=$B46,F46,0)</f>
        <v>0</v>
      </c>
      <c r="O46" s="134"/>
      <c r="P46" s="130">
        <f t="shared" si="1"/>
        <v>0</v>
      </c>
      <c r="Q46" s="11"/>
      <c r="R46">
        <f t="shared" si="1"/>
        <v>0</v>
      </c>
    </row>
    <row r="47" spans="1:18" hidden="1" x14ac:dyDescent="0.25">
      <c r="A47" s="130"/>
      <c r="B47" s="150" t="s">
        <v>218</v>
      </c>
      <c r="C47" s="130"/>
      <c r="D47" s="130">
        <v>-2</v>
      </c>
      <c r="E47" s="139"/>
      <c r="F47" s="130">
        <v>2</v>
      </c>
      <c r="G47" s="134"/>
      <c r="H47" s="134"/>
      <c r="I47" s="134"/>
      <c r="J47" s="134"/>
      <c r="K47" s="134"/>
      <c r="L47" s="130">
        <f t="shared" si="0"/>
        <v>0</v>
      </c>
      <c r="M47" s="139"/>
      <c r="N47" s="130">
        <f t="shared" si="1"/>
        <v>0</v>
      </c>
      <c r="O47" s="134"/>
      <c r="P47" s="130">
        <f t="shared" si="1"/>
        <v>0</v>
      </c>
      <c r="Q47" s="11"/>
      <c r="R47">
        <f t="shared" si="1"/>
        <v>0</v>
      </c>
    </row>
    <row r="48" spans="1:18" hidden="1" x14ac:dyDescent="0.25">
      <c r="A48" s="130"/>
      <c r="B48" s="150" t="s">
        <v>219</v>
      </c>
      <c r="C48" s="130"/>
      <c r="D48" s="130"/>
      <c r="E48" s="139"/>
      <c r="F48" s="130"/>
      <c r="G48" s="134"/>
      <c r="H48" s="134"/>
      <c r="I48" s="134"/>
      <c r="J48" s="134"/>
      <c r="K48" s="134"/>
      <c r="L48" s="130">
        <f t="shared" si="0"/>
        <v>0</v>
      </c>
      <c r="M48" s="139"/>
      <c r="N48" s="130">
        <f t="shared" si="1"/>
        <v>0</v>
      </c>
      <c r="O48" s="134"/>
      <c r="P48" s="130">
        <f t="shared" si="1"/>
        <v>0</v>
      </c>
      <c r="Q48" s="11"/>
      <c r="R48">
        <f t="shared" si="1"/>
        <v>0</v>
      </c>
    </row>
    <row r="49" spans="1:18" hidden="1" x14ac:dyDescent="0.25">
      <c r="A49" s="130"/>
      <c r="B49" s="150" t="s">
        <v>220</v>
      </c>
      <c r="C49" s="130"/>
      <c r="D49" s="130">
        <v>2</v>
      </c>
      <c r="E49" s="139"/>
      <c r="F49" s="130">
        <v>-2</v>
      </c>
      <c r="G49" s="134"/>
      <c r="H49" s="134"/>
      <c r="I49" s="134"/>
      <c r="J49" s="134"/>
      <c r="K49" s="134"/>
      <c r="L49" s="130">
        <f t="shared" si="0"/>
        <v>0</v>
      </c>
      <c r="M49" s="139"/>
      <c r="N49" s="130">
        <f t="shared" si="1"/>
        <v>0</v>
      </c>
      <c r="O49" s="134"/>
      <c r="P49" s="130">
        <f t="shared" si="1"/>
        <v>0</v>
      </c>
      <c r="Q49" s="11"/>
      <c r="R49">
        <f t="shared" si="1"/>
        <v>0</v>
      </c>
    </row>
    <row r="50" spans="1:18" hidden="1" x14ac:dyDescent="0.25">
      <c r="A50" s="130"/>
      <c r="B50" s="150" t="s">
        <v>221</v>
      </c>
      <c r="C50" s="130"/>
      <c r="D50" s="130"/>
      <c r="E50" s="139"/>
      <c r="F50" s="130"/>
      <c r="G50" s="134"/>
      <c r="H50" s="134"/>
      <c r="I50" s="134"/>
      <c r="J50" s="134"/>
      <c r="K50" s="134"/>
      <c r="L50" s="130">
        <f t="shared" si="0"/>
        <v>0</v>
      </c>
      <c r="M50" s="139"/>
      <c r="N50" s="130">
        <f t="shared" si="1"/>
        <v>0</v>
      </c>
      <c r="O50" s="134"/>
      <c r="P50" s="130">
        <f t="shared" si="1"/>
        <v>0</v>
      </c>
      <c r="Q50" s="11"/>
      <c r="R50">
        <f t="shared" si="1"/>
        <v>0</v>
      </c>
    </row>
    <row r="51" spans="1:18" hidden="1" x14ac:dyDescent="0.25">
      <c r="A51" s="130"/>
      <c r="B51" s="150" t="s">
        <v>222</v>
      </c>
      <c r="C51" s="130"/>
      <c r="D51" s="130">
        <v>-4</v>
      </c>
      <c r="E51" s="139"/>
      <c r="F51" s="130">
        <v>4</v>
      </c>
      <c r="G51" s="134"/>
      <c r="H51" s="134"/>
      <c r="I51" s="134"/>
      <c r="J51" s="134"/>
      <c r="K51" s="134"/>
      <c r="L51" s="130">
        <f t="shared" si="0"/>
        <v>0</v>
      </c>
      <c r="M51" s="139"/>
      <c r="N51" s="130">
        <f t="shared" si="1"/>
        <v>0</v>
      </c>
      <c r="O51" s="134"/>
      <c r="P51" s="130">
        <f t="shared" si="1"/>
        <v>0</v>
      </c>
      <c r="Q51" s="11"/>
      <c r="R51">
        <f t="shared" si="1"/>
        <v>0</v>
      </c>
    </row>
    <row r="52" spans="1:18" hidden="1" x14ac:dyDescent="0.25">
      <c r="A52" s="130"/>
      <c r="B52" s="150" t="s">
        <v>223</v>
      </c>
      <c r="C52" s="130"/>
      <c r="D52" s="130">
        <v>4</v>
      </c>
      <c r="E52" s="139"/>
      <c r="F52" s="130">
        <v>-4</v>
      </c>
      <c r="G52" s="134"/>
      <c r="H52" s="134"/>
      <c r="I52" s="134"/>
      <c r="J52" s="134"/>
      <c r="K52" s="134"/>
      <c r="L52" s="130">
        <f t="shared" si="0"/>
        <v>0</v>
      </c>
      <c r="M52" s="139"/>
      <c r="N52" s="130">
        <f t="shared" si="1"/>
        <v>0</v>
      </c>
      <c r="O52" s="134"/>
      <c r="P52" s="130">
        <f t="shared" si="1"/>
        <v>0</v>
      </c>
      <c r="Q52" s="11"/>
      <c r="R52">
        <f t="shared" si="1"/>
        <v>0</v>
      </c>
    </row>
    <row r="53" spans="1:18" hidden="1" x14ac:dyDescent="0.25">
      <c r="A53" s="130"/>
      <c r="B53" s="150" t="s">
        <v>262</v>
      </c>
      <c r="C53" s="130"/>
      <c r="D53" s="130"/>
      <c r="E53" s="139"/>
      <c r="F53" s="130"/>
      <c r="G53" s="134"/>
      <c r="H53" s="134"/>
      <c r="I53" s="134"/>
      <c r="J53" s="134"/>
      <c r="K53" s="134"/>
      <c r="L53" s="130">
        <f t="shared" si="0"/>
        <v>0</v>
      </c>
      <c r="M53" s="134"/>
      <c r="N53" s="130">
        <f t="shared" si="1"/>
        <v>0</v>
      </c>
      <c r="O53" s="130"/>
      <c r="P53" s="130">
        <f t="shared" si="1"/>
        <v>0</v>
      </c>
      <c r="R53">
        <f t="shared" si="1"/>
        <v>0</v>
      </c>
    </row>
    <row r="54" spans="1:18" hidden="1" x14ac:dyDescent="0.25">
      <c r="A54" s="130"/>
      <c r="B54" s="150" t="s">
        <v>225</v>
      </c>
      <c r="C54" s="130"/>
      <c r="D54" s="130"/>
      <c r="E54" s="139"/>
      <c r="F54" s="130"/>
      <c r="G54" s="134"/>
      <c r="H54" s="134"/>
      <c r="I54" s="134"/>
      <c r="J54" s="134"/>
      <c r="K54" s="134"/>
      <c r="L54" s="130">
        <f t="shared" si="0"/>
        <v>0</v>
      </c>
      <c r="M54" s="134"/>
      <c r="N54" s="130">
        <f t="shared" si="1"/>
        <v>0</v>
      </c>
      <c r="O54" s="130"/>
      <c r="P54" s="130">
        <f t="shared" si="1"/>
        <v>0</v>
      </c>
      <c r="R54">
        <f t="shared" si="1"/>
        <v>0</v>
      </c>
    </row>
    <row r="55" spans="1:18" hidden="1" x14ac:dyDescent="0.25">
      <c r="A55" s="130"/>
      <c r="B55" s="150" t="s">
        <v>226</v>
      </c>
      <c r="C55" s="130"/>
      <c r="D55" s="130"/>
      <c r="E55" s="139"/>
      <c r="F55" s="130"/>
      <c r="G55" s="134"/>
      <c r="H55" s="134"/>
      <c r="I55" s="134"/>
      <c r="J55" s="134"/>
      <c r="K55" s="134"/>
      <c r="L55" s="130">
        <f t="shared" si="0"/>
        <v>0</v>
      </c>
      <c r="M55" s="134"/>
      <c r="N55" s="130">
        <f t="shared" si="1"/>
        <v>0</v>
      </c>
      <c r="O55" s="130"/>
      <c r="P55" s="130">
        <f t="shared" si="1"/>
        <v>0</v>
      </c>
      <c r="R55">
        <f t="shared" si="1"/>
        <v>0</v>
      </c>
    </row>
    <row r="56" spans="1:18" ht="15.75" hidden="1" thickBot="1" x14ac:dyDescent="0.3">
      <c r="A56" s="130"/>
      <c r="B56" s="151" t="s">
        <v>227</v>
      </c>
      <c r="C56" s="130"/>
      <c r="D56" s="130"/>
      <c r="E56" s="139"/>
      <c r="F56" s="130"/>
      <c r="G56" s="134"/>
      <c r="H56" s="134"/>
      <c r="I56" s="134"/>
      <c r="J56" s="134"/>
      <c r="K56" s="134"/>
      <c r="L56" s="130">
        <f t="shared" si="0"/>
        <v>0</v>
      </c>
      <c r="M56" s="134"/>
      <c r="N56" s="130">
        <f t="shared" si="1"/>
        <v>0</v>
      </c>
      <c r="O56" s="130"/>
      <c r="P56" s="130">
        <f t="shared" si="1"/>
        <v>0</v>
      </c>
      <c r="R56">
        <f t="shared" si="1"/>
        <v>0</v>
      </c>
    </row>
    <row r="57" spans="1:18" hidden="1" x14ac:dyDescent="0.25">
      <c r="A57" s="130"/>
      <c r="B57" s="130"/>
      <c r="C57" s="130"/>
      <c r="D57" s="130"/>
      <c r="E57" s="139"/>
      <c r="F57" s="130"/>
      <c r="G57" s="134"/>
      <c r="H57" s="134"/>
      <c r="I57" s="134"/>
      <c r="J57" s="134"/>
      <c r="K57" s="134"/>
      <c r="L57" s="134">
        <f>SUM(L45:L56)</f>
        <v>0</v>
      </c>
      <c r="M57" s="134"/>
      <c r="N57" s="134">
        <f>SUM(N45:N56)</f>
        <v>0</v>
      </c>
      <c r="O57" s="130"/>
      <c r="P57" s="134">
        <f>SUM(P45:P56)</f>
        <v>0</v>
      </c>
      <c r="R57" s="11">
        <f>SUM(R45:R56)</f>
        <v>0</v>
      </c>
    </row>
    <row r="58" spans="1:18" hidden="1" x14ac:dyDescent="0.25">
      <c r="A58" s="130"/>
      <c r="B58" s="149" t="s">
        <v>56</v>
      </c>
      <c r="C58" s="130"/>
      <c r="D58" s="130"/>
      <c r="E58" s="139"/>
      <c r="F58" s="130"/>
      <c r="G58" s="134"/>
      <c r="H58" s="134"/>
      <c r="I58" s="134"/>
      <c r="J58" s="134"/>
      <c r="K58" s="134"/>
      <c r="L58" s="134"/>
      <c r="M58" s="134"/>
      <c r="N58" s="130"/>
      <c r="O58" s="130"/>
      <c r="P58" s="130"/>
    </row>
    <row r="59" spans="1:18" hidden="1" x14ac:dyDescent="0.25">
      <c r="A59" s="130"/>
      <c r="B59" s="150" t="s">
        <v>263</v>
      </c>
      <c r="C59" s="130"/>
      <c r="D59" s="130">
        <v>2</v>
      </c>
      <c r="E59" s="139"/>
      <c r="F59" s="130">
        <v>2</v>
      </c>
      <c r="G59" s="134"/>
      <c r="H59" s="134"/>
      <c r="I59" s="134"/>
      <c r="J59" s="134">
        <v>1</v>
      </c>
      <c r="K59" s="134"/>
      <c r="L59" s="130">
        <f>IF(OR($F$17=$B59,$F$19=$B59,$F$21=$B59,$F$23=$B59)=TRUE,D59,0)</f>
        <v>0</v>
      </c>
      <c r="M59" s="134"/>
      <c r="N59" s="130">
        <f>IF(OR($F$17=$B59,$F$19=$B59,$F$21=$B59,$F$23=$B59)=TRUE,F59,0)</f>
        <v>0</v>
      </c>
      <c r="O59" s="130"/>
      <c r="P59" s="130">
        <f>IF(OR($F$17=$B59,$F$19=$B59,$F$21=$B59,$F$23=$B59)=TRUE,H59,0)</f>
        <v>0</v>
      </c>
      <c r="R59">
        <f>IF(OR($F$17=$B59,$F$19=$B59,$F$21=$B59,$F$23=$B59)=TRUE,J59,0)</f>
        <v>0</v>
      </c>
    </row>
    <row r="60" spans="1:18" hidden="1" x14ac:dyDescent="0.25">
      <c r="A60" s="130"/>
      <c r="B60" s="150" t="s">
        <v>264</v>
      </c>
      <c r="C60" s="130"/>
      <c r="D60" s="130">
        <v>2</v>
      </c>
      <c r="E60" s="139"/>
      <c r="F60" s="130">
        <v>2</v>
      </c>
      <c r="G60" s="134"/>
      <c r="H60" s="134"/>
      <c r="I60" s="134"/>
      <c r="J60" s="134">
        <v>2</v>
      </c>
      <c r="K60" s="134"/>
      <c r="L60" s="130">
        <f t="shared" ref="L60:R71" si="2">IF(OR($F$17=$B60,$F$19=$B60,$F$21=$B60,$F$23=$B60)=TRUE,D60,0)</f>
        <v>0</v>
      </c>
      <c r="M60" s="134"/>
      <c r="N60" s="130">
        <f t="shared" si="2"/>
        <v>0</v>
      </c>
      <c r="O60" s="130"/>
      <c r="P60" s="130">
        <f t="shared" si="2"/>
        <v>0</v>
      </c>
      <c r="R60">
        <f t="shared" si="2"/>
        <v>0</v>
      </c>
    </row>
    <row r="61" spans="1:18" hidden="1" x14ac:dyDescent="0.25">
      <c r="A61" s="130"/>
      <c r="B61" s="150" t="s">
        <v>265</v>
      </c>
      <c r="C61" s="130"/>
      <c r="D61" s="130">
        <v>2</v>
      </c>
      <c r="E61" s="139"/>
      <c r="F61" s="130">
        <v>2</v>
      </c>
      <c r="G61" s="134"/>
      <c r="H61" s="134"/>
      <c r="I61" s="134"/>
      <c r="J61" s="134">
        <v>3</v>
      </c>
      <c r="K61" s="134"/>
      <c r="L61" s="130">
        <f t="shared" si="2"/>
        <v>0</v>
      </c>
      <c r="M61" s="134"/>
      <c r="N61" s="130">
        <f t="shared" si="2"/>
        <v>0</v>
      </c>
      <c r="O61" s="130"/>
      <c r="P61" s="130">
        <f t="shared" si="2"/>
        <v>0</v>
      </c>
      <c r="R61">
        <f t="shared" si="2"/>
        <v>0</v>
      </c>
    </row>
    <row r="62" spans="1:18" hidden="1" x14ac:dyDescent="0.25">
      <c r="A62" s="130"/>
      <c r="B62" s="150" t="s">
        <v>266</v>
      </c>
      <c r="C62" s="130"/>
      <c r="D62" s="130">
        <v>2</v>
      </c>
      <c r="E62" s="139"/>
      <c r="F62" s="130">
        <v>2</v>
      </c>
      <c r="G62" s="134"/>
      <c r="H62" s="134"/>
      <c r="I62" s="134"/>
      <c r="J62" s="134">
        <v>4</v>
      </c>
      <c r="K62" s="134"/>
      <c r="L62" s="130">
        <f t="shared" si="2"/>
        <v>0</v>
      </c>
      <c r="M62" s="134"/>
      <c r="N62" s="130">
        <f t="shared" si="2"/>
        <v>0</v>
      </c>
      <c r="O62" s="130"/>
      <c r="P62" s="130">
        <f t="shared" si="2"/>
        <v>0</v>
      </c>
      <c r="R62">
        <f t="shared" si="2"/>
        <v>0</v>
      </c>
    </row>
    <row r="63" spans="1:18" hidden="1" x14ac:dyDescent="0.25">
      <c r="A63" s="130"/>
      <c r="B63" s="150" t="s">
        <v>267</v>
      </c>
      <c r="C63" s="130"/>
      <c r="D63" s="130">
        <v>2</v>
      </c>
      <c r="E63" s="139"/>
      <c r="F63" s="130">
        <v>2</v>
      </c>
      <c r="G63" s="134"/>
      <c r="H63" s="134"/>
      <c r="I63" s="134"/>
      <c r="J63" s="134">
        <v>5</v>
      </c>
      <c r="K63" s="134"/>
      <c r="L63" s="130">
        <f t="shared" si="2"/>
        <v>0</v>
      </c>
      <c r="M63" s="134"/>
      <c r="N63" s="130">
        <f t="shared" si="2"/>
        <v>0</v>
      </c>
      <c r="O63" s="130"/>
      <c r="P63" s="130">
        <f t="shared" si="2"/>
        <v>0</v>
      </c>
      <c r="R63">
        <f t="shared" si="2"/>
        <v>0</v>
      </c>
    </row>
    <row r="64" spans="1:18" hidden="1" x14ac:dyDescent="0.25">
      <c r="A64" s="130"/>
      <c r="B64" s="150" t="s">
        <v>228</v>
      </c>
      <c r="C64" s="130"/>
      <c r="D64" s="130">
        <v>1</v>
      </c>
      <c r="E64" s="139"/>
      <c r="F64" s="130"/>
      <c r="G64" s="134"/>
      <c r="H64" s="134"/>
      <c r="I64" s="134"/>
      <c r="J64" s="134">
        <v>5</v>
      </c>
      <c r="K64" s="134"/>
      <c r="L64" s="130">
        <f t="shared" si="2"/>
        <v>0</v>
      </c>
      <c r="M64" s="134"/>
      <c r="N64" s="130">
        <f t="shared" si="2"/>
        <v>0</v>
      </c>
      <c r="O64" s="130"/>
      <c r="P64" s="130">
        <f t="shared" si="2"/>
        <v>0</v>
      </c>
      <c r="R64">
        <f t="shared" si="2"/>
        <v>0</v>
      </c>
    </row>
    <row r="65" spans="1:18" hidden="1" x14ac:dyDescent="0.25">
      <c r="A65" s="130"/>
      <c r="B65" s="150" t="s">
        <v>229</v>
      </c>
      <c r="C65" s="130"/>
      <c r="D65" s="130">
        <v>2</v>
      </c>
      <c r="E65" s="139"/>
      <c r="F65" s="130"/>
      <c r="G65" s="134"/>
      <c r="H65" s="134"/>
      <c r="I65" s="134"/>
      <c r="J65" s="134">
        <v>50</v>
      </c>
      <c r="K65" s="134"/>
      <c r="L65" s="130">
        <f t="shared" si="2"/>
        <v>0</v>
      </c>
      <c r="M65" s="134"/>
      <c r="N65" s="130">
        <f t="shared" si="2"/>
        <v>0</v>
      </c>
      <c r="O65" s="130"/>
      <c r="P65" s="130">
        <f t="shared" si="2"/>
        <v>0</v>
      </c>
      <c r="R65">
        <f t="shared" si="2"/>
        <v>0</v>
      </c>
    </row>
    <row r="66" spans="1:18" hidden="1" x14ac:dyDescent="0.25">
      <c r="A66" s="130"/>
      <c r="B66" s="150" t="s">
        <v>230</v>
      </c>
      <c r="C66" s="130"/>
      <c r="D66" s="130"/>
      <c r="E66" s="139"/>
      <c r="F66" s="130">
        <v>1</v>
      </c>
      <c r="G66" s="134"/>
      <c r="H66" s="134"/>
      <c r="I66" s="134"/>
      <c r="J66" s="134">
        <v>3</v>
      </c>
      <c r="K66" s="134"/>
      <c r="L66" s="130">
        <f t="shared" si="2"/>
        <v>0</v>
      </c>
      <c r="M66" s="134"/>
      <c r="N66" s="130">
        <f t="shared" si="2"/>
        <v>0</v>
      </c>
      <c r="O66" s="130"/>
      <c r="P66" s="130">
        <f t="shared" si="2"/>
        <v>0</v>
      </c>
      <c r="R66">
        <f t="shared" si="2"/>
        <v>0</v>
      </c>
    </row>
    <row r="67" spans="1:18" hidden="1" x14ac:dyDescent="0.25">
      <c r="A67" s="130"/>
      <c r="B67" s="150" t="s">
        <v>231</v>
      </c>
      <c r="C67" s="130"/>
      <c r="D67" s="130"/>
      <c r="E67" s="139"/>
      <c r="F67" s="130">
        <v>2</v>
      </c>
      <c r="G67" s="134"/>
      <c r="H67" s="134"/>
      <c r="I67" s="134"/>
      <c r="J67" s="134">
        <v>15</v>
      </c>
      <c r="K67" s="134"/>
      <c r="L67" s="130">
        <f t="shared" si="2"/>
        <v>0</v>
      </c>
      <c r="M67" s="134"/>
      <c r="N67" s="130">
        <f t="shared" si="2"/>
        <v>0</v>
      </c>
      <c r="O67" s="130"/>
      <c r="P67" s="130">
        <f t="shared" si="2"/>
        <v>0</v>
      </c>
      <c r="R67">
        <f t="shared" si="2"/>
        <v>0</v>
      </c>
    </row>
    <row r="68" spans="1:18" hidden="1" x14ac:dyDescent="0.25">
      <c r="A68" s="130"/>
      <c r="B68" s="150" t="s">
        <v>232</v>
      </c>
      <c r="C68" s="130"/>
      <c r="D68" s="130"/>
      <c r="E68" s="139"/>
      <c r="F68" s="130"/>
      <c r="G68" s="134"/>
      <c r="H68" s="134"/>
      <c r="I68" s="134"/>
      <c r="J68" s="134">
        <v>10</v>
      </c>
      <c r="K68" s="134"/>
      <c r="L68" s="130">
        <f t="shared" si="2"/>
        <v>0</v>
      </c>
      <c r="M68" s="134"/>
      <c r="N68" s="130">
        <f t="shared" si="2"/>
        <v>0</v>
      </c>
      <c r="O68" s="130"/>
      <c r="P68" s="130">
        <f t="shared" si="2"/>
        <v>0</v>
      </c>
      <c r="R68">
        <f t="shared" si="2"/>
        <v>0</v>
      </c>
    </row>
    <row r="69" spans="1:18" hidden="1" x14ac:dyDescent="0.25">
      <c r="A69" s="130"/>
      <c r="B69" s="150" t="s">
        <v>233</v>
      </c>
      <c r="C69" s="130"/>
      <c r="D69" s="130"/>
      <c r="E69" s="139"/>
      <c r="F69" s="130"/>
      <c r="G69" s="134"/>
      <c r="H69" s="134"/>
      <c r="I69" s="134"/>
      <c r="J69" s="134">
        <v>2</v>
      </c>
      <c r="K69" s="134"/>
      <c r="L69" s="130">
        <f t="shared" si="2"/>
        <v>0</v>
      </c>
      <c r="M69" s="134"/>
      <c r="N69" s="130">
        <f t="shared" si="2"/>
        <v>0</v>
      </c>
      <c r="O69" s="130"/>
      <c r="P69" s="130">
        <f t="shared" si="2"/>
        <v>0</v>
      </c>
      <c r="R69">
        <f t="shared" si="2"/>
        <v>0</v>
      </c>
    </row>
    <row r="70" spans="1:18" hidden="1" x14ac:dyDescent="0.25">
      <c r="A70" s="130"/>
      <c r="B70" s="150" t="s">
        <v>234</v>
      </c>
      <c r="C70" s="130"/>
      <c r="D70" s="130"/>
      <c r="E70" s="139"/>
      <c r="F70" s="130"/>
      <c r="G70" s="134"/>
      <c r="H70" s="134"/>
      <c r="I70" s="134"/>
      <c r="J70" s="134">
        <v>15</v>
      </c>
      <c r="K70" s="134"/>
      <c r="L70" s="130">
        <f t="shared" si="2"/>
        <v>0</v>
      </c>
      <c r="M70" s="134"/>
      <c r="N70" s="130">
        <f t="shared" si="2"/>
        <v>0</v>
      </c>
      <c r="O70" s="130"/>
      <c r="P70" s="130">
        <f t="shared" si="2"/>
        <v>0</v>
      </c>
      <c r="R70">
        <f t="shared" si="2"/>
        <v>0</v>
      </c>
    </row>
    <row r="71" spans="1:18" ht="15.75" hidden="1" thickBot="1" x14ac:dyDescent="0.3">
      <c r="A71" s="130"/>
      <c r="B71" s="151" t="s">
        <v>253</v>
      </c>
      <c r="C71" s="130"/>
      <c r="D71" s="130"/>
      <c r="E71" s="139"/>
      <c r="F71" s="130"/>
      <c r="G71" s="134"/>
      <c r="H71" s="134"/>
      <c r="I71" s="134"/>
      <c r="J71" s="134">
        <v>10</v>
      </c>
      <c r="K71" s="134"/>
      <c r="L71" s="130">
        <f t="shared" si="2"/>
        <v>0</v>
      </c>
      <c r="M71" s="134"/>
      <c r="N71" s="130">
        <f t="shared" si="2"/>
        <v>0</v>
      </c>
      <c r="O71" s="130"/>
      <c r="P71" s="130">
        <f t="shared" si="2"/>
        <v>0</v>
      </c>
      <c r="R71">
        <f t="shared" si="2"/>
        <v>0</v>
      </c>
    </row>
    <row r="72" spans="1:18" hidden="1" x14ac:dyDescent="0.25">
      <c r="A72" s="130"/>
      <c r="B72" s="130"/>
      <c r="C72" s="130"/>
      <c r="D72" s="130"/>
      <c r="E72" s="139"/>
      <c r="F72" s="130"/>
      <c r="G72" s="134"/>
      <c r="H72" s="134"/>
      <c r="I72" s="134"/>
      <c r="J72" s="134"/>
      <c r="K72" s="134"/>
      <c r="L72" s="134">
        <f>SUM(L59:L71)</f>
        <v>0</v>
      </c>
      <c r="M72" s="134"/>
      <c r="N72" s="134">
        <f>SUM(N59:N71)</f>
        <v>0</v>
      </c>
      <c r="O72" s="130"/>
      <c r="P72" s="134">
        <f>SUM(P59:P71)</f>
        <v>0</v>
      </c>
      <c r="R72" s="11">
        <f>SUM(R59:R71)</f>
        <v>0</v>
      </c>
    </row>
    <row r="73" spans="1:18" hidden="1" x14ac:dyDescent="0.25">
      <c r="A73" s="130"/>
      <c r="B73" s="149" t="s">
        <v>235</v>
      </c>
      <c r="C73" s="130"/>
      <c r="D73" s="130"/>
      <c r="E73" s="139"/>
      <c r="F73" s="130"/>
      <c r="G73" s="134"/>
      <c r="H73" s="134"/>
      <c r="I73" s="134"/>
      <c r="J73" s="134"/>
      <c r="K73" s="134"/>
      <c r="L73" s="130"/>
      <c r="M73" s="134"/>
      <c r="N73" s="130"/>
      <c r="O73" s="130"/>
      <c r="P73" s="130"/>
    </row>
    <row r="74" spans="1:18" hidden="1" x14ac:dyDescent="0.25">
      <c r="A74" s="130"/>
      <c r="B74" s="150" t="s">
        <v>236</v>
      </c>
      <c r="C74" s="130"/>
      <c r="D74" s="130"/>
      <c r="E74" s="139"/>
      <c r="F74" s="130"/>
      <c r="G74" s="134"/>
      <c r="H74" s="134"/>
      <c r="I74" s="134"/>
      <c r="J74" s="134"/>
      <c r="K74" s="134"/>
      <c r="L74" s="130">
        <f>IF(OR($B$31=$B74,$B$33=$B74,$B$35=$B74,$B$35=$B74,$B$37=$B74,$B$39=$B74)=TRUE,D74,0)</f>
        <v>0</v>
      </c>
      <c r="M74" s="134"/>
      <c r="N74" s="130">
        <f t="shared" ref="N74:N90" si="3">IF(OR($B$31=$B74,$B$33=$B74,$B$35=$B74,$B$35=$B74,$B$37=$B74,$B$39=$B74)=TRUE,F74,0)</f>
        <v>0</v>
      </c>
      <c r="O74" s="130"/>
      <c r="P74" s="130">
        <f t="shared" ref="P74:P90" si="4">IF(OR($B$31=$B74,$B$33=$B74,$B$35=$B74,$B$35=$B74,$B$37=$B74,$B$39=$B74)=TRUE,H74,0)</f>
        <v>0</v>
      </c>
      <c r="R74">
        <f t="shared" ref="R74:R90" si="5">IF(OR($B$31=$B74,$B$33=$B74,$B$35=$B74,$B$35=$B74,$B$37=$B74,$B$39=$B74)=TRUE,J74,0)</f>
        <v>0</v>
      </c>
    </row>
    <row r="75" spans="1:18" hidden="1" x14ac:dyDescent="0.25">
      <c r="A75" s="130"/>
      <c r="B75" s="150" t="s">
        <v>240</v>
      </c>
      <c r="C75" s="130"/>
      <c r="D75" s="130"/>
      <c r="E75" s="139"/>
      <c r="F75" s="130"/>
      <c r="G75" s="134"/>
      <c r="H75" s="134"/>
      <c r="I75" s="134"/>
      <c r="J75" s="134"/>
      <c r="K75" s="134"/>
      <c r="L75" s="130">
        <f t="shared" ref="L75:L90" si="6">IF(OR($B$31=$B75,$B$33=$B75,$B$35=$B75,$B$35=$B75,$B$37=$B75,$B$39=$B75)=TRUE,D75,0)</f>
        <v>0</v>
      </c>
      <c r="M75" s="134"/>
      <c r="N75" s="130">
        <f t="shared" si="3"/>
        <v>0</v>
      </c>
      <c r="O75" s="130"/>
      <c r="P75" s="130">
        <f t="shared" si="4"/>
        <v>0</v>
      </c>
      <c r="R75">
        <f t="shared" si="5"/>
        <v>0</v>
      </c>
    </row>
    <row r="76" spans="1:18" hidden="1" x14ac:dyDescent="0.25">
      <c r="A76" s="130"/>
      <c r="B76" s="150" t="s">
        <v>251</v>
      </c>
      <c r="C76" s="130"/>
      <c r="D76" s="130"/>
      <c r="E76" s="139"/>
      <c r="F76" s="130"/>
      <c r="G76" s="134"/>
      <c r="H76" s="134"/>
      <c r="I76" s="134"/>
      <c r="J76" s="134">
        <v>-1</v>
      </c>
      <c r="K76" s="134"/>
      <c r="L76" s="130">
        <f t="shared" si="6"/>
        <v>0</v>
      </c>
      <c r="M76" s="134"/>
      <c r="N76" s="130">
        <f t="shared" si="3"/>
        <v>0</v>
      </c>
      <c r="O76" s="130"/>
      <c r="P76" s="130">
        <f t="shared" si="4"/>
        <v>0</v>
      </c>
      <c r="R76">
        <f t="shared" si="5"/>
        <v>0</v>
      </c>
    </row>
    <row r="77" spans="1:18" hidden="1" x14ac:dyDescent="0.25">
      <c r="A77" s="130"/>
      <c r="B77" s="150" t="s">
        <v>237</v>
      </c>
      <c r="C77" s="134"/>
      <c r="D77" s="130"/>
      <c r="E77" s="139"/>
      <c r="F77" s="130"/>
      <c r="G77" s="134"/>
      <c r="H77" s="134"/>
      <c r="I77" s="134"/>
      <c r="J77" s="134"/>
      <c r="K77" s="134"/>
      <c r="L77" s="130">
        <f t="shared" si="6"/>
        <v>0</v>
      </c>
      <c r="M77" s="134"/>
      <c r="N77" s="130">
        <f t="shared" si="3"/>
        <v>0</v>
      </c>
      <c r="O77" s="130"/>
      <c r="P77" s="130">
        <f t="shared" si="4"/>
        <v>0</v>
      </c>
      <c r="R77">
        <f t="shared" si="5"/>
        <v>0</v>
      </c>
    </row>
    <row r="78" spans="1:18" hidden="1" x14ac:dyDescent="0.25">
      <c r="A78" s="130"/>
      <c r="B78" s="150" t="s">
        <v>239</v>
      </c>
      <c r="C78" s="134"/>
      <c r="D78" s="130"/>
      <c r="E78" s="139"/>
      <c r="F78" s="130"/>
      <c r="G78" s="134"/>
      <c r="H78" s="134"/>
      <c r="I78" s="134"/>
      <c r="J78" s="134"/>
      <c r="K78" s="134"/>
      <c r="L78" s="130">
        <f t="shared" si="6"/>
        <v>0</v>
      </c>
      <c r="M78" s="134"/>
      <c r="N78" s="130">
        <f t="shared" si="3"/>
        <v>0</v>
      </c>
      <c r="O78" s="130"/>
      <c r="P78" s="130">
        <f t="shared" si="4"/>
        <v>0</v>
      </c>
      <c r="R78">
        <f t="shared" si="5"/>
        <v>0</v>
      </c>
    </row>
    <row r="79" spans="1:18" hidden="1" x14ac:dyDescent="0.25">
      <c r="A79" s="130"/>
      <c r="B79" s="150" t="s">
        <v>243</v>
      </c>
      <c r="C79" s="134"/>
      <c r="D79" s="130"/>
      <c r="E79" s="139"/>
      <c r="F79" s="130"/>
      <c r="G79" s="134"/>
      <c r="H79" s="134"/>
      <c r="I79" s="134"/>
      <c r="J79" s="134"/>
      <c r="K79" s="134"/>
      <c r="L79" s="130">
        <f t="shared" si="6"/>
        <v>0</v>
      </c>
      <c r="M79" s="134"/>
      <c r="N79" s="130">
        <f t="shared" si="3"/>
        <v>0</v>
      </c>
      <c r="O79" s="130"/>
      <c r="P79" s="130">
        <f t="shared" si="4"/>
        <v>0</v>
      </c>
      <c r="R79">
        <f t="shared" si="5"/>
        <v>0</v>
      </c>
    </row>
    <row r="80" spans="1:18" hidden="1" x14ac:dyDescent="0.25">
      <c r="A80" s="130"/>
      <c r="B80" s="150" t="s">
        <v>252</v>
      </c>
      <c r="C80" s="134"/>
      <c r="D80" s="130"/>
      <c r="E80" s="139"/>
      <c r="F80" s="130"/>
      <c r="G80" s="134"/>
      <c r="H80" s="134"/>
      <c r="I80" s="134"/>
      <c r="J80" s="134"/>
      <c r="K80" s="134"/>
      <c r="L80" s="130">
        <f t="shared" si="6"/>
        <v>0</v>
      </c>
      <c r="M80" s="134"/>
      <c r="N80" s="130">
        <f t="shared" si="3"/>
        <v>0</v>
      </c>
      <c r="O80" s="130"/>
      <c r="P80" s="130">
        <f t="shared" si="4"/>
        <v>0</v>
      </c>
      <c r="R80">
        <f t="shared" si="5"/>
        <v>0</v>
      </c>
    </row>
    <row r="81" spans="1:18" hidden="1" x14ac:dyDescent="0.25">
      <c r="A81" s="130"/>
      <c r="B81" s="150" t="s">
        <v>244</v>
      </c>
      <c r="C81" s="134"/>
      <c r="D81" s="130"/>
      <c r="E81" s="139"/>
      <c r="F81" s="130">
        <v>1</v>
      </c>
      <c r="G81" s="134"/>
      <c r="H81" s="134"/>
      <c r="I81" s="134"/>
      <c r="J81" s="134"/>
      <c r="K81" s="134"/>
      <c r="L81" s="130">
        <f t="shared" si="6"/>
        <v>0</v>
      </c>
      <c r="M81" s="134"/>
      <c r="N81" s="130">
        <f t="shared" si="3"/>
        <v>0</v>
      </c>
      <c r="O81" s="130"/>
      <c r="P81" s="130">
        <f t="shared" si="4"/>
        <v>0</v>
      </c>
      <c r="R81">
        <f t="shared" si="5"/>
        <v>0</v>
      </c>
    </row>
    <row r="82" spans="1:18" hidden="1" x14ac:dyDescent="0.25">
      <c r="A82" s="130"/>
      <c r="B82" s="150" t="s">
        <v>245</v>
      </c>
      <c r="C82" s="134"/>
      <c r="D82" s="130"/>
      <c r="E82" s="139"/>
      <c r="F82" s="130"/>
      <c r="G82" s="134"/>
      <c r="H82" s="134"/>
      <c r="I82" s="134"/>
      <c r="J82" s="134"/>
      <c r="K82" s="134"/>
      <c r="L82" s="130">
        <f t="shared" si="6"/>
        <v>0</v>
      </c>
      <c r="M82" s="134"/>
      <c r="N82" s="130">
        <f t="shared" si="3"/>
        <v>0</v>
      </c>
      <c r="O82" s="130"/>
      <c r="P82" s="130">
        <f t="shared" si="4"/>
        <v>0</v>
      </c>
      <c r="R82">
        <f t="shared" si="5"/>
        <v>0</v>
      </c>
    </row>
    <row r="83" spans="1:18" hidden="1" x14ac:dyDescent="0.25">
      <c r="A83" s="130"/>
      <c r="B83" s="150" t="s">
        <v>241</v>
      </c>
      <c r="C83" s="134"/>
      <c r="D83" s="130"/>
      <c r="E83" s="139"/>
      <c r="F83" s="130"/>
      <c r="G83" s="134"/>
      <c r="H83" s="134"/>
      <c r="I83" s="134"/>
      <c r="J83" s="134"/>
      <c r="K83" s="134"/>
      <c r="L83" s="130">
        <f t="shared" si="6"/>
        <v>0</v>
      </c>
      <c r="M83" s="134"/>
      <c r="N83" s="130">
        <f t="shared" si="3"/>
        <v>0</v>
      </c>
      <c r="O83" s="130"/>
      <c r="P83" s="130">
        <f t="shared" si="4"/>
        <v>0</v>
      </c>
      <c r="R83">
        <f t="shared" si="5"/>
        <v>0</v>
      </c>
    </row>
    <row r="84" spans="1:18" hidden="1" x14ac:dyDescent="0.25">
      <c r="A84" s="130"/>
      <c r="B84" s="150" t="s">
        <v>246</v>
      </c>
      <c r="C84" s="134"/>
      <c r="D84" s="130"/>
      <c r="E84" s="139"/>
      <c r="F84" s="130"/>
      <c r="G84" s="134"/>
      <c r="H84" s="134"/>
      <c r="I84" s="134"/>
      <c r="J84" s="134"/>
      <c r="K84" s="134"/>
      <c r="L84" s="130">
        <f t="shared" si="6"/>
        <v>0</v>
      </c>
      <c r="M84" s="134"/>
      <c r="N84" s="130">
        <f t="shared" si="3"/>
        <v>0</v>
      </c>
      <c r="O84" s="130"/>
      <c r="P84" s="130">
        <f t="shared" si="4"/>
        <v>0</v>
      </c>
      <c r="R84">
        <f t="shared" si="5"/>
        <v>0</v>
      </c>
    </row>
    <row r="85" spans="1:18" hidden="1" x14ac:dyDescent="0.25">
      <c r="A85" s="130"/>
      <c r="B85" s="150" t="s">
        <v>238</v>
      </c>
      <c r="C85" s="134"/>
      <c r="D85" s="130"/>
      <c r="E85" s="139"/>
      <c r="F85" s="130"/>
      <c r="G85" s="134"/>
      <c r="H85" s="134"/>
      <c r="I85" s="134"/>
      <c r="J85" s="134"/>
      <c r="K85" s="134"/>
      <c r="L85" s="130">
        <f t="shared" si="6"/>
        <v>0</v>
      </c>
      <c r="M85" s="134"/>
      <c r="N85" s="130">
        <f t="shared" si="3"/>
        <v>0</v>
      </c>
      <c r="O85" s="130"/>
      <c r="P85" s="130">
        <f t="shared" si="4"/>
        <v>0</v>
      </c>
      <c r="R85">
        <f t="shared" si="5"/>
        <v>0</v>
      </c>
    </row>
    <row r="86" spans="1:18" hidden="1" x14ac:dyDescent="0.25">
      <c r="A86" s="130"/>
      <c r="B86" s="150" t="s">
        <v>247</v>
      </c>
      <c r="C86" s="134"/>
      <c r="D86" s="130"/>
      <c r="E86" s="139"/>
      <c r="F86" s="130"/>
      <c r="G86" s="134"/>
      <c r="H86" s="134"/>
      <c r="I86" s="134"/>
      <c r="J86" s="134"/>
      <c r="K86" s="134"/>
      <c r="L86" s="130">
        <f t="shared" si="6"/>
        <v>0</v>
      </c>
      <c r="M86" s="134"/>
      <c r="N86" s="130">
        <f t="shared" si="3"/>
        <v>0</v>
      </c>
      <c r="O86" s="130"/>
      <c r="P86" s="130">
        <f t="shared" si="4"/>
        <v>0</v>
      </c>
      <c r="R86">
        <f t="shared" si="5"/>
        <v>0</v>
      </c>
    </row>
    <row r="87" spans="1:18" hidden="1" x14ac:dyDescent="0.25">
      <c r="A87" s="130"/>
      <c r="B87" s="150" t="s">
        <v>248</v>
      </c>
      <c r="C87" s="134"/>
      <c r="D87" s="130"/>
      <c r="E87" s="139"/>
      <c r="F87" s="130">
        <v>10</v>
      </c>
      <c r="G87" s="134"/>
      <c r="H87" s="134"/>
      <c r="I87" s="134"/>
      <c r="J87" s="134"/>
      <c r="K87" s="134"/>
      <c r="L87" s="130">
        <f t="shared" si="6"/>
        <v>0</v>
      </c>
      <c r="M87" s="134"/>
      <c r="N87" s="130">
        <f t="shared" si="3"/>
        <v>0</v>
      </c>
      <c r="O87" s="130"/>
      <c r="P87" s="130">
        <f t="shared" si="4"/>
        <v>0</v>
      </c>
      <c r="R87">
        <f t="shared" si="5"/>
        <v>0</v>
      </c>
    </row>
    <row r="88" spans="1:18" hidden="1" x14ac:dyDescent="0.25">
      <c r="A88" s="130"/>
      <c r="B88" s="150" t="s">
        <v>249</v>
      </c>
      <c r="C88" s="134"/>
      <c r="D88" s="130"/>
      <c r="E88" s="139"/>
      <c r="F88" s="130"/>
      <c r="G88" s="134"/>
      <c r="H88" s="134"/>
      <c r="I88" s="134"/>
      <c r="J88" s="134"/>
      <c r="K88" s="134"/>
      <c r="L88" s="130">
        <f t="shared" si="6"/>
        <v>0</v>
      </c>
      <c r="M88" s="134"/>
      <c r="N88" s="130">
        <f t="shared" si="3"/>
        <v>0</v>
      </c>
      <c r="O88" s="130"/>
      <c r="P88" s="130">
        <f t="shared" si="4"/>
        <v>0</v>
      </c>
      <c r="R88">
        <f t="shared" si="5"/>
        <v>0</v>
      </c>
    </row>
    <row r="89" spans="1:18" hidden="1" x14ac:dyDescent="0.25">
      <c r="A89" s="130"/>
      <c r="B89" s="150" t="s">
        <v>250</v>
      </c>
      <c r="C89" s="134"/>
      <c r="D89" s="130"/>
      <c r="E89" s="139"/>
      <c r="F89" s="130"/>
      <c r="G89" s="134"/>
      <c r="H89" s="134"/>
      <c r="I89" s="134"/>
      <c r="J89" s="134"/>
      <c r="K89" s="134"/>
      <c r="L89" s="130">
        <f t="shared" si="6"/>
        <v>0</v>
      </c>
      <c r="M89" s="134"/>
      <c r="N89" s="130">
        <f t="shared" si="3"/>
        <v>0</v>
      </c>
      <c r="O89" s="130"/>
      <c r="P89" s="130">
        <f t="shared" si="4"/>
        <v>0</v>
      </c>
      <c r="R89">
        <f t="shared" si="5"/>
        <v>0</v>
      </c>
    </row>
    <row r="90" spans="1:18" ht="15.75" hidden="1" thickBot="1" x14ac:dyDescent="0.3">
      <c r="A90" s="130"/>
      <c r="B90" s="151" t="s">
        <v>242</v>
      </c>
      <c r="C90" s="134"/>
      <c r="D90" s="130"/>
      <c r="E90" s="139"/>
      <c r="F90" s="130"/>
      <c r="G90" s="134"/>
      <c r="H90" s="134"/>
      <c r="I90" s="134"/>
      <c r="J90" s="134"/>
      <c r="K90" s="134"/>
      <c r="L90" s="130">
        <f t="shared" si="6"/>
        <v>0</v>
      </c>
      <c r="M90" s="134"/>
      <c r="N90" s="130">
        <f t="shared" si="3"/>
        <v>0</v>
      </c>
      <c r="O90" s="130"/>
      <c r="P90" s="130">
        <f t="shared" si="4"/>
        <v>0</v>
      </c>
      <c r="R90">
        <f t="shared" si="5"/>
        <v>0</v>
      </c>
    </row>
    <row r="91" spans="1:18" hidden="1" x14ac:dyDescent="0.25">
      <c r="A91" s="130"/>
      <c r="B91" s="130"/>
      <c r="C91" s="134"/>
      <c r="D91" s="130"/>
      <c r="E91" s="139"/>
      <c r="F91" s="130"/>
      <c r="G91" s="134"/>
      <c r="H91" s="134"/>
      <c r="I91" s="134"/>
      <c r="J91" s="134"/>
      <c r="K91" s="134"/>
      <c r="L91" s="134">
        <f>SUM(L74:L90)</f>
        <v>0</v>
      </c>
      <c r="M91" s="134"/>
      <c r="N91" s="134">
        <f>SUM(N74:N90)</f>
        <v>0</v>
      </c>
      <c r="O91" s="130"/>
      <c r="P91" s="134">
        <f>SUM(P74:P90)</f>
        <v>0</v>
      </c>
      <c r="R91" s="11">
        <f>SUM(R74:R90)</f>
        <v>0</v>
      </c>
    </row>
    <row r="92" spans="1:18" x14ac:dyDescent="0.25">
      <c r="A92" s="130"/>
      <c r="B92" s="130"/>
      <c r="C92" s="134"/>
      <c r="D92" s="130"/>
      <c r="E92" s="139"/>
      <c r="F92" s="130"/>
      <c r="G92" s="134"/>
      <c r="H92" s="134"/>
      <c r="I92" s="134"/>
      <c r="J92" s="134"/>
      <c r="K92" s="134"/>
      <c r="L92" s="134"/>
      <c r="M92" s="134"/>
      <c r="N92" s="130"/>
      <c r="O92" s="130"/>
      <c r="P92" s="130"/>
    </row>
    <row r="93" spans="1:18" x14ac:dyDescent="0.25">
      <c r="A93" s="130"/>
      <c r="B93" s="130"/>
      <c r="C93" s="134"/>
      <c r="D93" s="130"/>
      <c r="E93" s="139"/>
      <c r="F93" s="130"/>
      <c r="G93" s="134"/>
      <c r="H93" s="134"/>
      <c r="I93" s="134"/>
      <c r="J93" s="134"/>
      <c r="K93" s="134"/>
      <c r="L93" s="134"/>
      <c r="M93" s="134"/>
      <c r="N93" s="130"/>
      <c r="O93" s="130"/>
      <c r="P93" s="130"/>
    </row>
    <row r="94" spans="1:18" x14ac:dyDescent="0.25">
      <c r="A94" s="130"/>
      <c r="B94" s="130"/>
      <c r="C94" s="134"/>
      <c r="D94" s="130"/>
      <c r="E94" s="139"/>
      <c r="F94" s="130"/>
      <c r="G94" s="134"/>
      <c r="H94" s="134"/>
      <c r="I94" s="134"/>
      <c r="J94" s="134"/>
      <c r="K94" s="134"/>
      <c r="L94" s="134"/>
      <c r="M94" s="134"/>
      <c r="N94" s="130"/>
      <c r="O94" s="130"/>
      <c r="P94" s="130"/>
    </row>
    <row r="95" spans="1:18" x14ac:dyDescent="0.25">
      <c r="A95" s="130"/>
      <c r="B95" s="130"/>
      <c r="C95" s="134"/>
      <c r="D95" s="130"/>
      <c r="E95" s="139"/>
      <c r="F95" s="130"/>
      <c r="G95" s="134"/>
      <c r="H95" s="134"/>
      <c r="I95" s="134"/>
      <c r="J95" s="134"/>
      <c r="K95" s="134"/>
      <c r="L95" s="134"/>
      <c r="M95" s="134"/>
      <c r="N95" s="130"/>
      <c r="O95" s="130"/>
      <c r="P95" s="130"/>
    </row>
  </sheetData>
  <sheetProtection sheet="1" objects="1" scenarios="1" selectLockedCells="1"/>
  <mergeCells count="37">
    <mergeCell ref="A40:L40"/>
    <mergeCell ref="B31:D31"/>
    <mergeCell ref="F31:L37"/>
    <mergeCell ref="B33:D33"/>
    <mergeCell ref="B35:D35"/>
    <mergeCell ref="B37:D37"/>
    <mergeCell ref="B39:D39"/>
    <mergeCell ref="F39:J39"/>
    <mergeCell ref="B29:D29"/>
    <mergeCell ref="F29:L29"/>
    <mergeCell ref="B17:D17"/>
    <mergeCell ref="F17:L17"/>
    <mergeCell ref="B19:D19"/>
    <mergeCell ref="F19:L19"/>
    <mergeCell ref="B21:D21"/>
    <mergeCell ref="F21:L21"/>
    <mergeCell ref="B23:D23"/>
    <mergeCell ref="F23:L23"/>
    <mergeCell ref="D25:H25"/>
    <mergeCell ref="F27:H27"/>
    <mergeCell ref="J27:L27"/>
    <mergeCell ref="A1:M1"/>
    <mergeCell ref="A2:A39"/>
    <mergeCell ref="D2:H2"/>
    <mergeCell ref="M2:M40"/>
    <mergeCell ref="D4:F4"/>
    <mergeCell ref="H4:J4"/>
    <mergeCell ref="B7:D7"/>
    <mergeCell ref="F7:L7"/>
    <mergeCell ref="F9:H9"/>
    <mergeCell ref="J9:L9"/>
    <mergeCell ref="F11:H11"/>
    <mergeCell ref="J11:L11"/>
    <mergeCell ref="F13:H13"/>
    <mergeCell ref="J13:L13"/>
    <mergeCell ref="B15:D15"/>
    <mergeCell ref="F15:L15"/>
  </mergeCells>
  <dataValidations count="9">
    <dataValidation type="list" allowBlank="1" showInputMessage="1" showErrorMessage="1" sqref="L26 J27:L27">
      <formula1>HD</formula1>
    </dataValidation>
    <dataValidation type="list" allowBlank="1" showInputMessage="1" showErrorMessage="1" sqref="L25">
      <formula1>CR</formula1>
    </dataValidation>
    <dataValidation type="list" allowBlank="1" showInputMessage="1" showErrorMessage="1" sqref="D4">
      <formula1>Size</formula1>
    </dataValidation>
    <dataValidation type="list" allowBlank="1" showInputMessage="1" showErrorMessage="1" sqref="F17:L17 F21:L21 F19:L19 F23:L23">
      <formula1>Resources</formula1>
    </dataValidation>
    <dataValidation type="list" allowBlank="1" showInputMessage="1" showErrorMessage="1" sqref="B31:D31 B33:D33 B35:D35 B37:D37 B39:D39">
      <formula1>Abilities</formula1>
    </dataValidation>
    <dataValidation type="list" allowBlank="1" showInputMessage="1" showErrorMessage="1" sqref="L4">
      <formula1>Active</formula1>
    </dataValidation>
    <dataValidation type="list" allowBlank="1" showInputMessage="1" showErrorMessage="1" sqref="B17:D17 B19:D19 B21:D21 B23:D23">
      <formula1>Tactics</formula1>
    </dataValidation>
    <dataValidation type="list" allowBlank="1" showInputMessage="1" showErrorMessage="1" sqref="L39">
      <formula1>CHA</formula1>
    </dataValidation>
    <dataValidation type="list" allowBlank="1" showInputMessage="1" showErrorMessage="1" sqref="J13:L13">
      <formula1>Morale</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95"/>
  <sheetViews>
    <sheetView workbookViewId="0">
      <selection activeCell="B23" sqref="B23:D23"/>
    </sheetView>
  </sheetViews>
  <sheetFormatPr defaultRowHeight="15" x14ac:dyDescent="0.25"/>
  <cols>
    <col min="1" max="1" width="0.85546875" customWidth="1"/>
    <col min="2" max="2" width="18.7109375" customWidth="1"/>
    <col min="3" max="3" width="0.85546875" style="11" customWidth="1"/>
    <col min="4" max="4" width="10.7109375" customWidth="1"/>
    <col min="5" max="5" width="0.85546875" style="5" customWidth="1"/>
    <col min="6" max="6" width="8.28515625" customWidth="1"/>
    <col min="7" max="7" width="0.85546875" style="11" customWidth="1"/>
    <col min="8" max="8" width="10.7109375" style="11" customWidth="1"/>
    <col min="9" max="9" width="0.85546875" style="11" customWidth="1"/>
    <col min="10" max="10" width="4.7109375" style="11" customWidth="1"/>
    <col min="11" max="11" width="0.85546875" style="11" customWidth="1"/>
    <col min="12" max="12" width="5.7109375" style="11" customWidth="1"/>
    <col min="13" max="13" width="0.85546875" style="11" customWidth="1"/>
    <col min="15" max="15" width="0.85546875" customWidth="1"/>
    <col min="17" max="17" width="0.85546875" customWidth="1"/>
  </cols>
  <sheetData>
    <row r="1" spans="1:16" ht="5.0999999999999996" customHeight="1" thickBot="1" x14ac:dyDescent="0.3">
      <c r="A1" s="500"/>
      <c r="B1" s="501"/>
      <c r="C1" s="501"/>
      <c r="D1" s="501"/>
      <c r="E1" s="501"/>
      <c r="F1" s="501"/>
      <c r="G1" s="501"/>
      <c r="H1" s="501"/>
      <c r="I1" s="501"/>
      <c r="J1" s="501"/>
      <c r="K1" s="501"/>
      <c r="L1" s="501"/>
      <c r="M1" s="502"/>
      <c r="N1" s="130"/>
      <c r="O1" s="130"/>
      <c r="P1" s="130"/>
    </row>
    <row r="2" spans="1:16" ht="15.75" thickBot="1" x14ac:dyDescent="0.3">
      <c r="A2" s="480"/>
      <c r="B2" s="131" t="s">
        <v>83</v>
      </c>
      <c r="C2" s="132"/>
      <c r="D2" s="455"/>
      <c r="E2" s="372"/>
      <c r="F2" s="372"/>
      <c r="G2" s="372"/>
      <c r="H2" s="373"/>
      <c r="I2" s="111"/>
      <c r="J2" s="131" t="s">
        <v>187</v>
      </c>
      <c r="K2" s="97"/>
      <c r="L2" s="152">
        <f>IF(D4="Fine",(L25-8),(IF(D4="Dimunitive",(L25-6),(IF(D4="Tiny",(L25-4),(IF(D4="Small",(L25-2),(IF(D4="Medium",(L25),(IF(D4="Large",(L25+2),(IF(D4="Huge",(L25+4),(IF(D4="Gargantuan",(L25+6),(IF(D4="Colossal",(L25+8),0)))))))))))))))))</f>
        <v>0</v>
      </c>
      <c r="M2" s="497"/>
      <c r="N2" s="130"/>
      <c r="O2" s="130"/>
      <c r="P2" s="130"/>
    </row>
    <row r="3" spans="1:16" s="1" customFormat="1" ht="3" customHeight="1" thickBot="1" x14ac:dyDescent="0.3">
      <c r="A3" s="495"/>
      <c r="B3" s="132"/>
      <c r="C3" s="132"/>
      <c r="D3" s="133"/>
      <c r="E3" s="134"/>
      <c r="F3" s="132"/>
      <c r="G3" s="132"/>
      <c r="H3" s="132"/>
      <c r="I3" s="132"/>
      <c r="J3" s="132"/>
      <c r="K3" s="132"/>
      <c r="L3" s="134"/>
      <c r="M3" s="498"/>
      <c r="N3" s="135"/>
      <c r="O3" s="135"/>
      <c r="P3" s="135"/>
    </row>
    <row r="4" spans="1:16" ht="15.75" thickBot="1" x14ac:dyDescent="0.3">
      <c r="A4" s="495"/>
      <c r="B4" s="131" t="s">
        <v>43</v>
      </c>
      <c r="C4" s="132"/>
      <c r="D4" s="455"/>
      <c r="E4" s="372"/>
      <c r="F4" s="372"/>
      <c r="G4" s="136"/>
      <c r="H4" s="496" t="s">
        <v>255</v>
      </c>
      <c r="I4" s="495"/>
      <c r="J4" s="495"/>
      <c r="K4" s="134"/>
      <c r="L4" s="129"/>
      <c r="M4" s="498"/>
      <c r="N4" s="130"/>
      <c r="O4" s="130"/>
      <c r="P4" s="130"/>
    </row>
    <row r="5" spans="1:16" s="1" customFormat="1" ht="3" customHeight="1" x14ac:dyDescent="0.25">
      <c r="A5" s="495"/>
      <c r="B5" s="132"/>
      <c r="C5" s="132"/>
      <c r="D5" s="137"/>
      <c r="E5" s="137"/>
      <c r="F5" s="134"/>
      <c r="G5" s="134"/>
      <c r="H5" s="134"/>
      <c r="I5" s="134"/>
      <c r="J5" s="134"/>
      <c r="K5" s="134"/>
      <c r="L5" s="134"/>
      <c r="M5" s="498"/>
      <c r="N5" s="135"/>
      <c r="O5" s="135"/>
      <c r="P5" s="135"/>
    </row>
    <row r="6" spans="1:16" s="1" customFormat="1" ht="3" customHeight="1" x14ac:dyDescent="0.25">
      <c r="A6" s="495"/>
      <c r="B6" s="132"/>
      <c r="C6" s="132"/>
      <c r="D6" s="137"/>
      <c r="E6" s="137"/>
      <c r="F6" s="134"/>
      <c r="G6" s="134"/>
      <c r="H6" s="134"/>
      <c r="I6" s="134"/>
      <c r="J6" s="134"/>
      <c r="K6" s="134"/>
      <c r="L6" s="134"/>
      <c r="M6" s="498"/>
      <c r="N6" s="135"/>
      <c r="O6" s="135"/>
      <c r="P6" s="135"/>
    </row>
    <row r="7" spans="1:16" x14ac:dyDescent="0.25">
      <c r="A7" s="495"/>
      <c r="B7" s="408" t="s">
        <v>182</v>
      </c>
      <c r="C7" s="480"/>
      <c r="D7" s="480"/>
      <c r="E7" s="138"/>
      <c r="F7" s="408" t="s">
        <v>183</v>
      </c>
      <c r="G7" s="480"/>
      <c r="H7" s="480"/>
      <c r="I7" s="480"/>
      <c r="J7" s="480"/>
      <c r="K7" s="480"/>
      <c r="L7" s="480"/>
      <c r="M7" s="498"/>
      <c r="N7" s="130"/>
      <c r="O7" s="130"/>
      <c r="P7" s="130"/>
    </row>
    <row r="8" spans="1:16" ht="3" customHeight="1" thickBot="1" x14ac:dyDescent="0.3">
      <c r="A8" s="495"/>
      <c r="B8" s="139"/>
      <c r="C8" s="134"/>
      <c r="D8" s="139"/>
      <c r="E8" s="139"/>
      <c r="F8" s="139"/>
      <c r="G8" s="134"/>
      <c r="H8" s="134"/>
      <c r="I8" s="134"/>
      <c r="J8" s="134"/>
      <c r="K8" s="134"/>
      <c r="L8" s="134"/>
      <c r="M8" s="498"/>
      <c r="N8" s="130"/>
      <c r="O8" s="130"/>
      <c r="P8" s="130"/>
    </row>
    <row r="9" spans="1:16" ht="15.75" thickBot="1" x14ac:dyDescent="0.3">
      <c r="A9" s="495"/>
      <c r="B9" s="112" t="s">
        <v>185</v>
      </c>
      <c r="C9" s="140"/>
      <c r="D9" s="60">
        <f>ROUNDDOWN((L2*((J27+1)/2)),0)</f>
        <v>0</v>
      </c>
      <c r="E9" s="138"/>
      <c r="F9" s="479" t="s">
        <v>184</v>
      </c>
      <c r="G9" s="480"/>
      <c r="H9" s="480"/>
      <c r="I9" s="138"/>
      <c r="J9" s="391">
        <f>ROUNDDOWN(D27/15,0)</f>
        <v>0</v>
      </c>
      <c r="K9" s="392"/>
      <c r="L9" s="393"/>
      <c r="M9" s="498"/>
      <c r="N9" s="130"/>
      <c r="O9" s="130"/>
      <c r="P9" s="130"/>
    </row>
    <row r="10" spans="1:16" ht="3" customHeight="1" thickBot="1" x14ac:dyDescent="0.3">
      <c r="A10" s="495"/>
      <c r="B10" s="111"/>
      <c r="C10" s="134"/>
      <c r="D10" s="139"/>
      <c r="E10" s="139"/>
      <c r="F10" s="139"/>
      <c r="G10" s="134"/>
      <c r="H10" s="111"/>
      <c r="I10" s="134"/>
      <c r="J10" s="137"/>
      <c r="K10" s="137"/>
      <c r="L10" s="137"/>
      <c r="M10" s="498"/>
      <c r="N10" s="130"/>
      <c r="O10" s="130"/>
      <c r="P10" s="130"/>
    </row>
    <row r="11" spans="1:16" ht="15.75" thickBot="1" x14ac:dyDescent="0.3">
      <c r="A11" s="495"/>
      <c r="B11" s="112" t="s">
        <v>193</v>
      </c>
      <c r="C11" s="140"/>
      <c r="D11" s="60">
        <f>L2+L57+L72+L91</f>
        <v>0</v>
      </c>
      <c r="E11" s="138"/>
      <c r="F11" s="479" t="s">
        <v>63</v>
      </c>
      <c r="G11" s="480"/>
      <c r="H11" s="480"/>
      <c r="I11" s="138"/>
      <c r="J11" s="391">
        <f>IF(L2=0,0,IF(((L2/2)+R57+R72+R91)&lt;1,1,ROUNDUP(((L2/2)+R57+R72+R91),0)))</f>
        <v>0</v>
      </c>
      <c r="K11" s="392"/>
      <c r="L11" s="393"/>
      <c r="M11" s="498"/>
      <c r="N11" s="130"/>
      <c r="O11" s="130"/>
      <c r="P11" s="130"/>
    </row>
    <row r="12" spans="1:16" ht="3" customHeight="1" thickBot="1" x14ac:dyDescent="0.3">
      <c r="A12" s="495"/>
      <c r="B12" s="111"/>
      <c r="C12" s="134"/>
      <c r="D12" s="139"/>
      <c r="E12" s="139"/>
      <c r="F12" s="139"/>
      <c r="G12" s="134"/>
      <c r="H12" s="111"/>
      <c r="I12" s="134"/>
      <c r="J12" s="137"/>
      <c r="K12" s="137"/>
      <c r="L12" s="137"/>
      <c r="M12" s="498"/>
      <c r="N12" s="130"/>
      <c r="O12" s="130"/>
      <c r="P12" s="130"/>
    </row>
    <row r="13" spans="1:16" ht="15.75" thickBot="1" x14ac:dyDescent="0.3">
      <c r="A13" s="495"/>
      <c r="B13" s="112" t="s">
        <v>194</v>
      </c>
      <c r="C13" s="140"/>
      <c r="D13" s="60">
        <f>10+L2+N57+N72+N91</f>
        <v>10</v>
      </c>
      <c r="E13" s="138"/>
      <c r="F13" s="479" t="s">
        <v>269</v>
      </c>
      <c r="G13" s="480"/>
      <c r="H13" s="480"/>
      <c r="I13" s="138"/>
      <c r="J13" s="505"/>
      <c r="K13" s="506"/>
      <c r="L13" s="507"/>
      <c r="M13" s="498"/>
      <c r="N13" s="130"/>
      <c r="O13" s="130"/>
      <c r="P13" s="130"/>
    </row>
    <row r="14" spans="1:16" ht="3" customHeight="1" x14ac:dyDescent="0.25">
      <c r="A14" s="495"/>
      <c r="B14" s="139"/>
      <c r="C14" s="134"/>
      <c r="D14" s="139"/>
      <c r="E14" s="139"/>
      <c r="F14" s="139"/>
      <c r="G14" s="134"/>
      <c r="H14" s="134"/>
      <c r="I14" s="134"/>
      <c r="J14" s="134"/>
      <c r="K14" s="134"/>
      <c r="L14" s="134"/>
      <c r="M14" s="498"/>
      <c r="N14" s="130"/>
      <c r="O14" s="130"/>
      <c r="P14" s="130"/>
    </row>
    <row r="15" spans="1:16" x14ac:dyDescent="0.25">
      <c r="A15" s="495"/>
      <c r="B15" s="408" t="s">
        <v>186</v>
      </c>
      <c r="C15" s="480"/>
      <c r="D15" s="480"/>
      <c r="E15" s="138"/>
      <c r="F15" s="408" t="s">
        <v>56</v>
      </c>
      <c r="G15" s="480"/>
      <c r="H15" s="480"/>
      <c r="I15" s="480"/>
      <c r="J15" s="480"/>
      <c r="K15" s="480"/>
      <c r="L15" s="480"/>
      <c r="M15" s="498"/>
      <c r="N15" s="130"/>
      <c r="O15" s="130"/>
      <c r="P15" s="130"/>
    </row>
    <row r="16" spans="1:16" s="5" customFormat="1" ht="3" customHeight="1" thickBot="1" x14ac:dyDescent="0.3">
      <c r="A16" s="495"/>
      <c r="B16" s="141"/>
      <c r="C16" s="141"/>
      <c r="D16" s="141"/>
      <c r="E16" s="141"/>
      <c r="F16" s="141"/>
      <c r="G16" s="141"/>
      <c r="H16" s="141"/>
      <c r="I16" s="141"/>
      <c r="J16" s="141"/>
      <c r="K16" s="141"/>
      <c r="L16" s="141"/>
      <c r="M16" s="498"/>
      <c r="N16" s="139"/>
      <c r="O16" s="139"/>
      <c r="P16" s="139"/>
    </row>
    <row r="17" spans="1:16" s="5" customFormat="1" ht="15.75" thickBot="1" x14ac:dyDescent="0.3">
      <c r="A17" s="495"/>
      <c r="B17" s="481"/>
      <c r="C17" s="482"/>
      <c r="D17" s="483"/>
      <c r="E17" s="141"/>
      <c r="F17" s="481"/>
      <c r="G17" s="482"/>
      <c r="H17" s="482"/>
      <c r="I17" s="482"/>
      <c r="J17" s="482"/>
      <c r="K17" s="482"/>
      <c r="L17" s="483"/>
      <c r="M17" s="498"/>
      <c r="N17" s="139"/>
      <c r="O17" s="139"/>
      <c r="P17" s="139"/>
    </row>
    <row r="18" spans="1:16" s="5" customFormat="1" ht="3" customHeight="1" thickBot="1" x14ac:dyDescent="0.3">
      <c r="A18" s="495"/>
      <c r="B18" s="141"/>
      <c r="C18" s="141"/>
      <c r="D18" s="141"/>
      <c r="E18" s="141"/>
      <c r="F18" s="141"/>
      <c r="G18" s="141"/>
      <c r="H18" s="141"/>
      <c r="I18" s="141"/>
      <c r="J18" s="141"/>
      <c r="K18" s="141"/>
      <c r="L18" s="141"/>
      <c r="M18" s="498"/>
      <c r="N18" s="139"/>
      <c r="O18" s="139"/>
      <c r="P18" s="139"/>
    </row>
    <row r="19" spans="1:16" s="5" customFormat="1" ht="15.75" thickBot="1" x14ac:dyDescent="0.3">
      <c r="A19" s="495"/>
      <c r="B19" s="476"/>
      <c r="C19" s="477"/>
      <c r="D19" s="478"/>
      <c r="E19" s="141"/>
      <c r="F19" s="481"/>
      <c r="G19" s="482"/>
      <c r="H19" s="482"/>
      <c r="I19" s="482"/>
      <c r="J19" s="482"/>
      <c r="K19" s="482"/>
      <c r="L19" s="483"/>
      <c r="M19" s="498"/>
      <c r="N19" s="139"/>
      <c r="O19" s="139"/>
      <c r="P19" s="139"/>
    </row>
    <row r="20" spans="1:16" s="5" customFormat="1" ht="3" customHeight="1" thickBot="1" x14ac:dyDescent="0.3">
      <c r="A20" s="495"/>
      <c r="B20" s="141"/>
      <c r="C20" s="141"/>
      <c r="D20" s="141"/>
      <c r="E20" s="141"/>
      <c r="F20" s="141"/>
      <c r="G20" s="141"/>
      <c r="H20" s="141"/>
      <c r="I20" s="141"/>
      <c r="J20" s="141"/>
      <c r="K20" s="141"/>
      <c r="L20" s="141"/>
      <c r="M20" s="498"/>
      <c r="N20" s="139"/>
      <c r="O20" s="139"/>
      <c r="P20" s="139"/>
    </row>
    <row r="21" spans="1:16" s="5" customFormat="1" ht="15.75" thickBot="1" x14ac:dyDescent="0.3">
      <c r="A21" s="495"/>
      <c r="B21" s="476"/>
      <c r="C21" s="477"/>
      <c r="D21" s="478"/>
      <c r="E21" s="141"/>
      <c r="F21" s="481"/>
      <c r="G21" s="482"/>
      <c r="H21" s="482"/>
      <c r="I21" s="482"/>
      <c r="J21" s="482"/>
      <c r="K21" s="482"/>
      <c r="L21" s="483"/>
      <c r="M21" s="498"/>
      <c r="N21" s="139"/>
      <c r="O21" s="139"/>
      <c r="P21" s="139"/>
    </row>
    <row r="22" spans="1:16" s="5" customFormat="1" ht="3" customHeight="1" thickBot="1" x14ac:dyDescent="0.3">
      <c r="A22" s="495"/>
      <c r="B22" s="141"/>
      <c r="C22" s="141"/>
      <c r="D22" s="141"/>
      <c r="E22" s="141"/>
      <c r="F22" s="141"/>
      <c r="G22" s="141"/>
      <c r="H22" s="141"/>
      <c r="I22" s="141"/>
      <c r="J22" s="141"/>
      <c r="K22" s="141"/>
      <c r="L22" s="141"/>
      <c r="M22" s="498"/>
      <c r="N22" s="139"/>
      <c r="O22" s="139"/>
      <c r="P22" s="139"/>
    </row>
    <row r="23" spans="1:16" s="5" customFormat="1" ht="15.75" thickBot="1" x14ac:dyDescent="0.3">
      <c r="A23" s="495"/>
      <c r="B23" s="476"/>
      <c r="C23" s="477"/>
      <c r="D23" s="478"/>
      <c r="E23" s="141"/>
      <c r="F23" s="481"/>
      <c r="G23" s="482"/>
      <c r="H23" s="482"/>
      <c r="I23" s="482"/>
      <c r="J23" s="482"/>
      <c r="K23" s="482"/>
      <c r="L23" s="483"/>
      <c r="M23" s="498"/>
      <c r="N23" s="139"/>
      <c r="O23" s="139"/>
      <c r="P23" s="139"/>
    </row>
    <row r="24" spans="1:16" ht="3" customHeight="1" thickBot="1" x14ac:dyDescent="0.3">
      <c r="A24" s="495"/>
      <c r="B24" s="142"/>
      <c r="C24" s="143"/>
      <c r="D24" s="142"/>
      <c r="E24" s="142"/>
      <c r="F24" s="142"/>
      <c r="G24" s="143"/>
      <c r="H24" s="143"/>
      <c r="I24" s="134"/>
      <c r="J24" s="143"/>
      <c r="K24" s="134"/>
      <c r="L24" s="143"/>
      <c r="M24" s="498"/>
      <c r="N24" s="130"/>
      <c r="O24" s="130"/>
      <c r="P24" s="130"/>
    </row>
    <row r="25" spans="1:16" ht="15.75" thickBot="1" x14ac:dyDescent="0.3">
      <c r="A25" s="495"/>
      <c r="B25" s="131" t="s">
        <v>191</v>
      </c>
      <c r="C25" s="132"/>
      <c r="D25" s="455"/>
      <c r="E25" s="372"/>
      <c r="F25" s="372"/>
      <c r="G25" s="372"/>
      <c r="H25" s="373"/>
      <c r="I25" s="144"/>
      <c r="J25" s="131" t="s">
        <v>187</v>
      </c>
      <c r="K25" s="144"/>
      <c r="L25" s="102"/>
      <c r="M25" s="498"/>
      <c r="N25" s="130"/>
      <c r="O25" s="130"/>
      <c r="P25" s="130"/>
    </row>
    <row r="26" spans="1:16" ht="3" customHeight="1" thickBot="1" x14ac:dyDescent="0.3">
      <c r="A26" s="495"/>
      <c r="B26" s="139"/>
      <c r="C26" s="134"/>
      <c r="D26" s="139"/>
      <c r="E26" s="138"/>
      <c r="F26" s="139"/>
      <c r="G26" s="134"/>
      <c r="H26" s="134"/>
      <c r="I26" s="134"/>
      <c r="J26" s="145" t="s">
        <v>192</v>
      </c>
      <c r="K26" s="144"/>
      <c r="L26" s="146"/>
      <c r="M26" s="498"/>
      <c r="N26" s="130"/>
      <c r="O26" s="130"/>
      <c r="P26" s="130"/>
    </row>
    <row r="27" spans="1:16" ht="15.75" thickBot="1" x14ac:dyDescent="0.3">
      <c r="A27" s="495"/>
      <c r="B27" s="112" t="s">
        <v>184</v>
      </c>
      <c r="C27" s="140"/>
      <c r="D27" s="57"/>
      <c r="E27" s="138"/>
      <c r="F27" s="479" t="s">
        <v>205</v>
      </c>
      <c r="G27" s="480"/>
      <c r="H27" s="480"/>
      <c r="I27" s="138"/>
      <c r="J27" s="371"/>
      <c r="K27" s="372"/>
      <c r="L27" s="373"/>
      <c r="M27" s="498"/>
      <c r="N27" s="130"/>
      <c r="O27" s="130"/>
      <c r="P27" s="130"/>
    </row>
    <row r="28" spans="1:16" s="5" customFormat="1" ht="3" customHeight="1" x14ac:dyDescent="0.25">
      <c r="A28" s="495"/>
      <c r="B28" s="141"/>
      <c r="C28" s="141"/>
      <c r="D28" s="141">
        <v>50</v>
      </c>
      <c r="E28" s="141"/>
      <c r="F28" s="141"/>
      <c r="G28" s="141"/>
      <c r="H28" s="141"/>
      <c r="I28" s="141"/>
      <c r="J28" s="141"/>
      <c r="K28" s="141"/>
      <c r="L28" s="141"/>
      <c r="M28" s="498"/>
      <c r="N28" s="139"/>
      <c r="O28" s="139"/>
      <c r="P28" s="139"/>
    </row>
    <row r="29" spans="1:16" x14ac:dyDescent="0.25">
      <c r="A29" s="495"/>
      <c r="B29" s="408" t="s">
        <v>189</v>
      </c>
      <c r="C29" s="480"/>
      <c r="D29" s="480"/>
      <c r="E29" s="138"/>
      <c r="F29" s="408" t="s">
        <v>190</v>
      </c>
      <c r="G29" s="480"/>
      <c r="H29" s="480"/>
      <c r="I29" s="480"/>
      <c r="J29" s="480"/>
      <c r="K29" s="480"/>
      <c r="L29" s="480"/>
      <c r="M29" s="498"/>
      <c r="N29" s="130"/>
      <c r="O29" s="130"/>
      <c r="P29" s="130"/>
    </row>
    <row r="30" spans="1:16" s="5" customFormat="1" ht="3" customHeight="1" thickBot="1" x14ac:dyDescent="0.3">
      <c r="A30" s="495"/>
      <c r="B30" s="141"/>
      <c r="C30" s="141"/>
      <c r="D30" s="141"/>
      <c r="E30" s="141"/>
      <c r="F30" s="141"/>
      <c r="G30" s="141"/>
      <c r="H30" s="141"/>
      <c r="I30" s="141"/>
      <c r="J30" s="141"/>
      <c r="K30" s="141"/>
      <c r="L30" s="141"/>
      <c r="M30" s="498"/>
      <c r="N30" s="139"/>
      <c r="O30" s="139"/>
      <c r="P30" s="139"/>
    </row>
    <row r="31" spans="1:16" s="5" customFormat="1" ht="15.75" thickBot="1" x14ac:dyDescent="0.3">
      <c r="A31" s="495"/>
      <c r="B31" s="481"/>
      <c r="C31" s="482"/>
      <c r="D31" s="483"/>
      <c r="E31" s="141"/>
      <c r="F31" s="484"/>
      <c r="G31" s="485"/>
      <c r="H31" s="485"/>
      <c r="I31" s="485"/>
      <c r="J31" s="485"/>
      <c r="K31" s="485"/>
      <c r="L31" s="486"/>
      <c r="M31" s="498"/>
      <c r="N31" s="139"/>
      <c r="O31" s="139"/>
      <c r="P31" s="139"/>
    </row>
    <row r="32" spans="1:16" s="5" customFormat="1" ht="3" customHeight="1" thickBot="1" x14ac:dyDescent="0.3">
      <c r="A32" s="495"/>
      <c r="B32" s="141"/>
      <c r="C32" s="141"/>
      <c r="D32" s="141"/>
      <c r="E32" s="141"/>
      <c r="F32" s="487"/>
      <c r="G32" s="488"/>
      <c r="H32" s="488"/>
      <c r="I32" s="488"/>
      <c r="J32" s="488"/>
      <c r="K32" s="488"/>
      <c r="L32" s="489"/>
      <c r="M32" s="498"/>
      <c r="N32" s="139"/>
      <c r="O32" s="139"/>
      <c r="P32" s="139"/>
    </row>
    <row r="33" spans="1:18" s="5" customFormat="1" ht="15.75" thickBot="1" x14ac:dyDescent="0.3">
      <c r="A33" s="495"/>
      <c r="B33" s="481"/>
      <c r="C33" s="482"/>
      <c r="D33" s="483"/>
      <c r="E33" s="141"/>
      <c r="F33" s="487"/>
      <c r="G33" s="488"/>
      <c r="H33" s="488"/>
      <c r="I33" s="488"/>
      <c r="J33" s="488"/>
      <c r="K33" s="488"/>
      <c r="L33" s="489"/>
      <c r="M33" s="498"/>
      <c r="N33" s="139"/>
      <c r="O33" s="139"/>
      <c r="P33" s="139"/>
    </row>
    <row r="34" spans="1:18" s="5" customFormat="1" ht="3" customHeight="1" thickBot="1" x14ac:dyDescent="0.3">
      <c r="A34" s="495"/>
      <c r="B34" s="141"/>
      <c r="C34" s="141"/>
      <c r="D34" s="141"/>
      <c r="E34" s="141"/>
      <c r="F34" s="487"/>
      <c r="G34" s="488"/>
      <c r="H34" s="488"/>
      <c r="I34" s="488"/>
      <c r="J34" s="488"/>
      <c r="K34" s="488"/>
      <c r="L34" s="489"/>
      <c r="M34" s="498"/>
      <c r="N34" s="139"/>
      <c r="O34" s="139"/>
      <c r="P34" s="139"/>
    </row>
    <row r="35" spans="1:18" s="5" customFormat="1" ht="15.75" thickBot="1" x14ac:dyDescent="0.3">
      <c r="A35" s="495"/>
      <c r="B35" s="481"/>
      <c r="C35" s="482"/>
      <c r="D35" s="483"/>
      <c r="E35" s="141"/>
      <c r="F35" s="487"/>
      <c r="G35" s="488"/>
      <c r="H35" s="488"/>
      <c r="I35" s="488"/>
      <c r="J35" s="488"/>
      <c r="K35" s="488"/>
      <c r="L35" s="489"/>
      <c r="M35" s="498"/>
      <c r="N35" s="139"/>
      <c r="O35" s="139"/>
      <c r="P35" s="139"/>
    </row>
    <row r="36" spans="1:18" s="5" customFormat="1" ht="3" customHeight="1" thickBot="1" x14ac:dyDescent="0.3">
      <c r="A36" s="495"/>
      <c r="B36" s="147"/>
      <c r="C36" s="147"/>
      <c r="D36" s="147"/>
      <c r="E36" s="141"/>
      <c r="F36" s="487"/>
      <c r="G36" s="490"/>
      <c r="H36" s="490"/>
      <c r="I36" s="490"/>
      <c r="J36" s="490"/>
      <c r="K36" s="490"/>
      <c r="L36" s="489"/>
      <c r="M36" s="498"/>
      <c r="N36" s="139"/>
      <c r="O36" s="139"/>
      <c r="P36" s="139"/>
    </row>
    <row r="37" spans="1:18" s="5" customFormat="1" ht="15.75" thickBot="1" x14ac:dyDescent="0.3">
      <c r="A37" s="495"/>
      <c r="B37" s="481"/>
      <c r="C37" s="482"/>
      <c r="D37" s="483"/>
      <c r="E37" s="141"/>
      <c r="F37" s="491"/>
      <c r="G37" s="492"/>
      <c r="H37" s="492"/>
      <c r="I37" s="492"/>
      <c r="J37" s="492"/>
      <c r="K37" s="492"/>
      <c r="L37" s="493"/>
      <c r="M37" s="498"/>
      <c r="N37" s="139"/>
      <c r="O37" s="139"/>
      <c r="P37" s="139"/>
    </row>
    <row r="38" spans="1:18" s="5" customFormat="1" ht="3" customHeight="1" thickBot="1" x14ac:dyDescent="0.3">
      <c r="A38" s="495"/>
      <c r="B38" s="147"/>
      <c r="C38" s="147"/>
      <c r="D38" s="147"/>
      <c r="E38" s="141"/>
      <c r="F38" s="148"/>
      <c r="G38" s="148"/>
      <c r="H38" s="148"/>
      <c r="I38" s="148"/>
      <c r="J38" s="148"/>
      <c r="K38" s="148"/>
      <c r="L38" s="148"/>
      <c r="M38" s="498"/>
      <c r="N38" s="139"/>
      <c r="O38" s="139"/>
      <c r="P38" s="139"/>
    </row>
    <row r="39" spans="1:18" s="5" customFormat="1" ht="15.75" thickBot="1" x14ac:dyDescent="0.3">
      <c r="A39" s="495"/>
      <c r="B39" s="481"/>
      <c r="C39" s="482"/>
      <c r="D39" s="483"/>
      <c r="E39" s="141"/>
      <c r="F39" s="494" t="s">
        <v>256</v>
      </c>
      <c r="G39" s="495"/>
      <c r="H39" s="495"/>
      <c r="I39" s="495"/>
      <c r="J39" s="495"/>
      <c r="K39" s="148"/>
      <c r="L39" s="104"/>
      <c r="M39" s="498"/>
      <c r="N39" s="139"/>
      <c r="O39" s="139"/>
      <c r="P39" s="139"/>
    </row>
    <row r="40" spans="1:18" ht="3" customHeight="1" thickBot="1" x14ac:dyDescent="0.3">
      <c r="A40" s="503"/>
      <c r="B40" s="504"/>
      <c r="C40" s="504"/>
      <c r="D40" s="504"/>
      <c r="E40" s="504"/>
      <c r="F40" s="504"/>
      <c r="G40" s="504"/>
      <c r="H40" s="504"/>
      <c r="I40" s="504"/>
      <c r="J40" s="504"/>
      <c r="K40" s="504"/>
      <c r="L40" s="504"/>
      <c r="M40" s="499"/>
      <c r="N40" s="130"/>
      <c r="O40" s="130"/>
      <c r="P40" s="130"/>
    </row>
    <row r="41" spans="1:18" ht="3" hidden="1" customHeight="1" x14ac:dyDescent="0.25">
      <c r="A41" s="139"/>
      <c r="B41" s="139"/>
      <c r="C41" s="134"/>
      <c r="D41" s="139"/>
      <c r="E41" s="139"/>
      <c r="F41" s="139"/>
      <c r="G41" s="134"/>
      <c r="H41" s="134"/>
      <c r="I41" s="134"/>
      <c r="J41" s="134"/>
      <c r="K41" s="134"/>
      <c r="L41" s="134"/>
      <c r="M41" s="134"/>
      <c r="N41" s="130"/>
      <c r="O41" s="130"/>
      <c r="P41" s="130"/>
    </row>
    <row r="42" spans="1:18" ht="3" hidden="1" customHeight="1" x14ac:dyDescent="0.25">
      <c r="A42" s="139"/>
      <c r="B42" s="139"/>
      <c r="C42" s="134"/>
      <c r="D42" s="139"/>
      <c r="E42" s="139"/>
      <c r="F42" s="139"/>
      <c r="G42" s="134"/>
      <c r="H42" s="134"/>
      <c r="I42" s="134"/>
      <c r="J42" s="134"/>
      <c r="K42" s="134"/>
      <c r="L42" s="134"/>
      <c r="M42" s="134"/>
      <c r="N42" s="130"/>
      <c r="O42" s="130"/>
      <c r="P42" s="130"/>
    </row>
    <row r="43" spans="1:18" hidden="1" x14ac:dyDescent="0.25">
      <c r="A43" s="130"/>
      <c r="B43" s="130"/>
      <c r="C43" s="134"/>
      <c r="D43" s="130" t="s">
        <v>260</v>
      </c>
      <c r="E43" s="139"/>
      <c r="F43" s="130" t="s">
        <v>95</v>
      </c>
      <c r="G43" s="134"/>
      <c r="H43" s="134" t="s">
        <v>188</v>
      </c>
      <c r="I43" s="134"/>
      <c r="J43" s="134" t="s">
        <v>261</v>
      </c>
      <c r="K43" s="134"/>
      <c r="L43" s="130" t="s">
        <v>260</v>
      </c>
      <c r="M43" s="139"/>
      <c r="N43" s="130" t="s">
        <v>95</v>
      </c>
      <c r="O43" s="134"/>
      <c r="P43" s="134" t="s">
        <v>188</v>
      </c>
      <c r="Q43" s="11"/>
      <c r="R43" s="11" t="s">
        <v>261</v>
      </c>
    </row>
    <row r="44" spans="1:18" hidden="1" x14ac:dyDescent="0.25">
      <c r="A44" s="130"/>
      <c r="B44" s="149" t="s">
        <v>186</v>
      </c>
      <c r="C44" s="130"/>
      <c r="D44" s="130"/>
      <c r="E44" s="139"/>
      <c r="F44" s="130"/>
      <c r="G44" s="134"/>
      <c r="H44" s="134"/>
      <c r="I44" s="134"/>
      <c r="J44" s="134"/>
      <c r="K44" s="134"/>
      <c r="L44" s="130"/>
      <c r="M44" s="139"/>
      <c r="N44" s="130"/>
      <c r="O44" s="134"/>
      <c r="P44" s="134"/>
      <c r="Q44" s="11"/>
      <c r="R44" s="11"/>
    </row>
    <row r="45" spans="1:18" hidden="1" x14ac:dyDescent="0.25">
      <c r="A45" s="130"/>
      <c r="B45" s="150" t="s">
        <v>216</v>
      </c>
      <c r="C45" s="130"/>
      <c r="D45" s="130">
        <v>-2</v>
      </c>
      <c r="E45" s="139"/>
      <c r="F45" s="130"/>
      <c r="G45" s="134"/>
      <c r="H45" s="134">
        <v>2</v>
      </c>
      <c r="I45" s="134"/>
      <c r="J45" s="134"/>
      <c r="K45" s="134"/>
      <c r="L45" s="130">
        <f>IF($B$17=$B45,D45,0)</f>
        <v>0</v>
      </c>
      <c r="M45" s="139"/>
      <c r="N45" s="130">
        <f>IF($B$17=$B45,F45,0)</f>
        <v>0</v>
      </c>
      <c r="O45" s="134"/>
      <c r="P45" s="130">
        <f>IF($B$17=$B45,H45,0)</f>
        <v>0</v>
      </c>
      <c r="Q45" s="11"/>
      <c r="R45">
        <f>IF($B$17=$B45,J45,0)</f>
        <v>0</v>
      </c>
    </row>
    <row r="46" spans="1:18" hidden="1" x14ac:dyDescent="0.25">
      <c r="A46" s="130"/>
      <c r="B46" s="150" t="s">
        <v>217</v>
      </c>
      <c r="C46" s="130"/>
      <c r="D46" s="130"/>
      <c r="E46" s="139"/>
      <c r="F46" s="130"/>
      <c r="G46" s="134"/>
      <c r="H46" s="134"/>
      <c r="I46" s="134"/>
      <c r="J46" s="134"/>
      <c r="K46" s="134"/>
      <c r="L46" s="130">
        <f t="shared" ref="L46:L56" si="0">IF($B$17=B46,D46,0)</f>
        <v>0</v>
      </c>
      <c r="M46" s="139"/>
      <c r="N46" s="130">
        <f t="shared" ref="N46:R56" si="1">IF($B$17=$B46,F46,0)</f>
        <v>0</v>
      </c>
      <c r="O46" s="134"/>
      <c r="P46" s="130">
        <f t="shared" si="1"/>
        <v>0</v>
      </c>
      <c r="Q46" s="11"/>
      <c r="R46">
        <f t="shared" si="1"/>
        <v>0</v>
      </c>
    </row>
    <row r="47" spans="1:18" hidden="1" x14ac:dyDescent="0.25">
      <c r="A47" s="130"/>
      <c r="B47" s="150" t="s">
        <v>218</v>
      </c>
      <c r="C47" s="130"/>
      <c r="D47" s="130">
        <v>-2</v>
      </c>
      <c r="E47" s="139"/>
      <c r="F47" s="130">
        <v>2</v>
      </c>
      <c r="G47" s="134"/>
      <c r="H47" s="134"/>
      <c r="I47" s="134"/>
      <c r="J47" s="134"/>
      <c r="K47" s="134"/>
      <c r="L47" s="130">
        <f t="shared" si="0"/>
        <v>0</v>
      </c>
      <c r="M47" s="139"/>
      <c r="N47" s="130">
        <f t="shared" si="1"/>
        <v>0</v>
      </c>
      <c r="O47" s="134"/>
      <c r="P47" s="130">
        <f t="shared" si="1"/>
        <v>0</v>
      </c>
      <c r="Q47" s="11"/>
      <c r="R47">
        <f t="shared" si="1"/>
        <v>0</v>
      </c>
    </row>
    <row r="48" spans="1:18" hidden="1" x14ac:dyDescent="0.25">
      <c r="A48" s="130"/>
      <c r="B48" s="150" t="s">
        <v>219</v>
      </c>
      <c r="C48" s="130"/>
      <c r="D48" s="130"/>
      <c r="E48" s="139"/>
      <c r="F48" s="130"/>
      <c r="G48" s="134"/>
      <c r="H48" s="134"/>
      <c r="I48" s="134"/>
      <c r="J48" s="134"/>
      <c r="K48" s="134"/>
      <c r="L48" s="130">
        <f t="shared" si="0"/>
        <v>0</v>
      </c>
      <c r="M48" s="139"/>
      <c r="N48" s="130">
        <f t="shared" si="1"/>
        <v>0</v>
      </c>
      <c r="O48" s="134"/>
      <c r="P48" s="130">
        <f t="shared" si="1"/>
        <v>0</v>
      </c>
      <c r="Q48" s="11"/>
      <c r="R48">
        <f t="shared" si="1"/>
        <v>0</v>
      </c>
    </row>
    <row r="49" spans="1:18" hidden="1" x14ac:dyDescent="0.25">
      <c r="A49" s="130"/>
      <c r="B49" s="150" t="s">
        <v>220</v>
      </c>
      <c r="C49" s="130"/>
      <c r="D49" s="130">
        <v>2</v>
      </c>
      <c r="E49" s="139"/>
      <c r="F49" s="130">
        <v>-2</v>
      </c>
      <c r="G49" s="134"/>
      <c r="H49" s="134"/>
      <c r="I49" s="134"/>
      <c r="J49" s="134"/>
      <c r="K49" s="134"/>
      <c r="L49" s="130">
        <f t="shared" si="0"/>
        <v>0</v>
      </c>
      <c r="M49" s="139"/>
      <c r="N49" s="130">
        <f t="shared" si="1"/>
        <v>0</v>
      </c>
      <c r="O49" s="134"/>
      <c r="P49" s="130">
        <f t="shared" si="1"/>
        <v>0</v>
      </c>
      <c r="Q49" s="11"/>
      <c r="R49">
        <f t="shared" si="1"/>
        <v>0</v>
      </c>
    </row>
    <row r="50" spans="1:18" hidden="1" x14ac:dyDescent="0.25">
      <c r="A50" s="130"/>
      <c r="B50" s="150" t="s">
        <v>221</v>
      </c>
      <c r="C50" s="130"/>
      <c r="D50" s="130"/>
      <c r="E50" s="139"/>
      <c r="F50" s="130"/>
      <c r="G50" s="134"/>
      <c r="H50" s="134"/>
      <c r="I50" s="134"/>
      <c r="J50" s="134"/>
      <c r="K50" s="134"/>
      <c r="L50" s="130">
        <f t="shared" si="0"/>
        <v>0</v>
      </c>
      <c r="M50" s="139"/>
      <c r="N50" s="130">
        <f t="shared" si="1"/>
        <v>0</v>
      </c>
      <c r="O50" s="134"/>
      <c r="P50" s="130">
        <f t="shared" si="1"/>
        <v>0</v>
      </c>
      <c r="Q50" s="11"/>
      <c r="R50">
        <f t="shared" si="1"/>
        <v>0</v>
      </c>
    </row>
    <row r="51" spans="1:18" hidden="1" x14ac:dyDescent="0.25">
      <c r="A51" s="130"/>
      <c r="B51" s="150" t="s">
        <v>222</v>
      </c>
      <c r="C51" s="130"/>
      <c r="D51" s="130">
        <v>-4</v>
      </c>
      <c r="E51" s="139"/>
      <c r="F51" s="130">
        <v>4</v>
      </c>
      <c r="G51" s="134"/>
      <c r="H51" s="134"/>
      <c r="I51" s="134"/>
      <c r="J51" s="134"/>
      <c r="K51" s="134"/>
      <c r="L51" s="130">
        <f t="shared" si="0"/>
        <v>0</v>
      </c>
      <c r="M51" s="139"/>
      <c r="N51" s="130">
        <f t="shared" si="1"/>
        <v>0</v>
      </c>
      <c r="O51" s="134"/>
      <c r="P51" s="130">
        <f t="shared" si="1"/>
        <v>0</v>
      </c>
      <c r="Q51" s="11"/>
      <c r="R51">
        <f t="shared" si="1"/>
        <v>0</v>
      </c>
    </row>
    <row r="52" spans="1:18" hidden="1" x14ac:dyDescent="0.25">
      <c r="A52" s="130"/>
      <c r="B52" s="150" t="s">
        <v>223</v>
      </c>
      <c r="C52" s="130"/>
      <c r="D52" s="130">
        <v>4</v>
      </c>
      <c r="E52" s="139"/>
      <c r="F52" s="130">
        <v>-4</v>
      </c>
      <c r="G52" s="134"/>
      <c r="H52" s="134"/>
      <c r="I52" s="134"/>
      <c r="J52" s="134"/>
      <c r="K52" s="134"/>
      <c r="L52" s="130">
        <f t="shared" si="0"/>
        <v>0</v>
      </c>
      <c r="M52" s="139"/>
      <c r="N52" s="130">
        <f t="shared" si="1"/>
        <v>0</v>
      </c>
      <c r="O52" s="134"/>
      <c r="P52" s="130">
        <f t="shared" si="1"/>
        <v>0</v>
      </c>
      <c r="Q52" s="11"/>
      <c r="R52">
        <f t="shared" si="1"/>
        <v>0</v>
      </c>
    </row>
    <row r="53" spans="1:18" hidden="1" x14ac:dyDescent="0.25">
      <c r="A53" s="130"/>
      <c r="B53" s="150" t="s">
        <v>262</v>
      </c>
      <c r="C53" s="130"/>
      <c r="D53" s="130"/>
      <c r="E53" s="139"/>
      <c r="F53" s="130"/>
      <c r="G53" s="134"/>
      <c r="H53" s="134"/>
      <c r="I53" s="134"/>
      <c r="J53" s="134"/>
      <c r="K53" s="134"/>
      <c r="L53" s="130">
        <f t="shared" si="0"/>
        <v>0</v>
      </c>
      <c r="M53" s="134"/>
      <c r="N53" s="130">
        <f t="shared" si="1"/>
        <v>0</v>
      </c>
      <c r="O53" s="130"/>
      <c r="P53" s="130">
        <f t="shared" si="1"/>
        <v>0</v>
      </c>
      <c r="R53">
        <f t="shared" si="1"/>
        <v>0</v>
      </c>
    </row>
    <row r="54" spans="1:18" hidden="1" x14ac:dyDescent="0.25">
      <c r="A54" s="130"/>
      <c r="B54" s="150" t="s">
        <v>225</v>
      </c>
      <c r="C54" s="130"/>
      <c r="D54" s="130"/>
      <c r="E54" s="139"/>
      <c r="F54" s="130"/>
      <c r="G54" s="134"/>
      <c r="H54" s="134"/>
      <c r="I54" s="134"/>
      <c r="J54" s="134"/>
      <c r="K54" s="134"/>
      <c r="L54" s="130">
        <f t="shared" si="0"/>
        <v>0</v>
      </c>
      <c r="M54" s="134"/>
      <c r="N54" s="130">
        <f t="shared" si="1"/>
        <v>0</v>
      </c>
      <c r="O54" s="130"/>
      <c r="P54" s="130">
        <f t="shared" si="1"/>
        <v>0</v>
      </c>
      <c r="R54">
        <f t="shared" si="1"/>
        <v>0</v>
      </c>
    </row>
    <row r="55" spans="1:18" hidden="1" x14ac:dyDescent="0.25">
      <c r="A55" s="130"/>
      <c r="B55" s="150" t="s">
        <v>226</v>
      </c>
      <c r="C55" s="130"/>
      <c r="D55" s="130"/>
      <c r="E55" s="139"/>
      <c r="F55" s="130"/>
      <c r="G55" s="134"/>
      <c r="H55" s="134"/>
      <c r="I55" s="134"/>
      <c r="J55" s="134"/>
      <c r="K55" s="134"/>
      <c r="L55" s="130">
        <f t="shared" si="0"/>
        <v>0</v>
      </c>
      <c r="M55" s="134"/>
      <c r="N55" s="130">
        <f t="shared" si="1"/>
        <v>0</v>
      </c>
      <c r="O55" s="130"/>
      <c r="P55" s="130">
        <f t="shared" si="1"/>
        <v>0</v>
      </c>
      <c r="R55">
        <f t="shared" si="1"/>
        <v>0</v>
      </c>
    </row>
    <row r="56" spans="1:18" ht="15.75" hidden="1" thickBot="1" x14ac:dyDescent="0.3">
      <c r="A56" s="130"/>
      <c r="B56" s="151" t="s">
        <v>227</v>
      </c>
      <c r="C56" s="130"/>
      <c r="D56" s="130"/>
      <c r="E56" s="139"/>
      <c r="F56" s="130"/>
      <c r="G56" s="134"/>
      <c r="H56" s="134"/>
      <c r="I56" s="134"/>
      <c r="J56" s="134"/>
      <c r="K56" s="134"/>
      <c r="L56" s="130">
        <f t="shared" si="0"/>
        <v>0</v>
      </c>
      <c r="M56" s="134"/>
      <c r="N56" s="130">
        <f t="shared" si="1"/>
        <v>0</v>
      </c>
      <c r="O56" s="130"/>
      <c r="P56" s="130">
        <f t="shared" si="1"/>
        <v>0</v>
      </c>
      <c r="R56">
        <f t="shared" si="1"/>
        <v>0</v>
      </c>
    </row>
    <row r="57" spans="1:18" hidden="1" x14ac:dyDescent="0.25">
      <c r="A57" s="130"/>
      <c r="B57" s="130"/>
      <c r="C57" s="130"/>
      <c r="D57" s="130"/>
      <c r="E57" s="139"/>
      <c r="F57" s="130"/>
      <c r="G57" s="134"/>
      <c r="H57" s="134"/>
      <c r="I57" s="134"/>
      <c r="J57" s="134"/>
      <c r="K57" s="134"/>
      <c r="L57" s="134">
        <f>SUM(L45:L56)</f>
        <v>0</v>
      </c>
      <c r="M57" s="134"/>
      <c r="N57" s="134">
        <f>SUM(N45:N56)</f>
        <v>0</v>
      </c>
      <c r="O57" s="130"/>
      <c r="P57" s="134">
        <f>SUM(P45:P56)</f>
        <v>0</v>
      </c>
      <c r="R57" s="11">
        <f>SUM(R45:R56)</f>
        <v>0</v>
      </c>
    </row>
    <row r="58" spans="1:18" hidden="1" x14ac:dyDescent="0.25">
      <c r="A58" s="130"/>
      <c r="B58" s="149" t="s">
        <v>56</v>
      </c>
      <c r="C58" s="130"/>
      <c r="D58" s="130"/>
      <c r="E58" s="139"/>
      <c r="F58" s="130"/>
      <c r="G58" s="134"/>
      <c r="H58" s="134"/>
      <c r="I58" s="134"/>
      <c r="J58" s="134"/>
      <c r="K58" s="134"/>
      <c r="L58" s="134"/>
      <c r="M58" s="134"/>
      <c r="N58" s="130"/>
      <c r="O58" s="130"/>
      <c r="P58" s="130"/>
    </row>
    <row r="59" spans="1:18" hidden="1" x14ac:dyDescent="0.25">
      <c r="A59" s="130"/>
      <c r="B59" s="150" t="s">
        <v>263</v>
      </c>
      <c r="C59" s="130"/>
      <c r="D59" s="130">
        <v>2</v>
      </c>
      <c r="E59" s="139"/>
      <c r="F59" s="130">
        <v>2</v>
      </c>
      <c r="G59" s="134"/>
      <c r="H59" s="134"/>
      <c r="I59" s="134"/>
      <c r="J59" s="134">
        <v>1</v>
      </c>
      <c r="K59" s="134"/>
      <c r="L59" s="130">
        <f>IF(OR($F$17=$B59,$F$19=$B59,$F$21=$B59,$F$23=$B59)=TRUE,D59,0)</f>
        <v>0</v>
      </c>
      <c r="M59" s="134"/>
      <c r="N59" s="130">
        <f>IF(OR($F$17=$B59,$F$19=$B59,$F$21=$B59,$F$23=$B59)=TRUE,F59,0)</f>
        <v>0</v>
      </c>
      <c r="O59" s="130"/>
      <c r="P59" s="130">
        <f>IF(OR($F$17=$B59,$F$19=$B59,$F$21=$B59,$F$23=$B59)=TRUE,H59,0)</f>
        <v>0</v>
      </c>
      <c r="R59">
        <f>IF(OR($F$17=$B59,$F$19=$B59,$F$21=$B59,$F$23=$B59)=TRUE,J59,0)</f>
        <v>0</v>
      </c>
    </row>
    <row r="60" spans="1:18" hidden="1" x14ac:dyDescent="0.25">
      <c r="A60" s="130"/>
      <c r="B60" s="150" t="s">
        <v>264</v>
      </c>
      <c r="C60" s="130"/>
      <c r="D60" s="130">
        <v>2</v>
      </c>
      <c r="E60" s="139"/>
      <c r="F60" s="130">
        <v>2</v>
      </c>
      <c r="G60" s="134"/>
      <c r="H60" s="134"/>
      <c r="I60" s="134"/>
      <c r="J60" s="134">
        <v>2</v>
      </c>
      <c r="K60" s="134"/>
      <c r="L60" s="130">
        <f t="shared" ref="L60:R71" si="2">IF(OR($F$17=$B60,$F$19=$B60,$F$21=$B60,$F$23=$B60)=TRUE,D60,0)</f>
        <v>0</v>
      </c>
      <c r="M60" s="134"/>
      <c r="N60" s="130">
        <f t="shared" si="2"/>
        <v>0</v>
      </c>
      <c r="O60" s="130"/>
      <c r="P60" s="130">
        <f t="shared" si="2"/>
        <v>0</v>
      </c>
      <c r="R60">
        <f t="shared" si="2"/>
        <v>0</v>
      </c>
    </row>
    <row r="61" spans="1:18" hidden="1" x14ac:dyDescent="0.25">
      <c r="A61" s="130"/>
      <c r="B61" s="150" t="s">
        <v>265</v>
      </c>
      <c r="C61" s="130"/>
      <c r="D61" s="130">
        <v>2</v>
      </c>
      <c r="E61" s="139"/>
      <c r="F61" s="130">
        <v>2</v>
      </c>
      <c r="G61" s="134"/>
      <c r="H61" s="134"/>
      <c r="I61" s="134"/>
      <c r="J61" s="134">
        <v>3</v>
      </c>
      <c r="K61" s="134"/>
      <c r="L61" s="130">
        <f t="shared" si="2"/>
        <v>0</v>
      </c>
      <c r="M61" s="134"/>
      <c r="N61" s="130">
        <f t="shared" si="2"/>
        <v>0</v>
      </c>
      <c r="O61" s="130"/>
      <c r="P61" s="130">
        <f t="shared" si="2"/>
        <v>0</v>
      </c>
      <c r="R61">
        <f t="shared" si="2"/>
        <v>0</v>
      </c>
    </row>
    <row r="62" spans="1:18" hidden="1" x14ac:dyDescent="0.25">
      <c r="A62" s="130"/>
      <c r="B62" s="150" t="s">
        <v>266</v>
      </c>
      <c r="C62" s="130"/>
      <c r="D62" s="130">
        <v>2</v>
      </c>
      <c r="E62" s="139"/>
      <c r="F62" s="130">
        <v>2</v>
      </c>
      <c r="G62" s="134"/>
      <c r="H62" s="134"/>
      <c r="I62" s="134"/>
      <c r="J62" s="134">
        <v>4</v>
      </c>
      <c r="K62" s="134"/>
      <c r="L62" s="130">
        <f t="shared" si="2"/>
        <v>0</v>
      </c>
      <c r="M62" s="134"/>
      <c r="N62" s="130">
        <f t="shared" si="2"/>
        <v>0</v>
      </c>
      <c r="O62" s="130"/>
      <c r="P62" s="130">
        <f t="shared" si="2"/>
        <v>0</v>
      </c>
      <c r="R62">
        <f t="shared" si="2"/>
        <v>0</v>
      </c>
    </row>
    <row r="63" spans="1:18" hidden="1" x14ac:dyDescent="0.25">
      <c r="A63" s="130"/>
      <c r="B63" s="150" t="s">
        <v>267</v>
      </c>
      <c r="C63" s="130"/>
      <c r="D63" s="130">
        <v>2</v>
      </c>
      <c r="E63" s="139"/>
      <c r="F63" s="130">
        <v>2</v>
      </c>
      <c r="G63" s="134"/>
      <c r="H63" s="134"/>
      <c r="I63" s="134"/>
      <c r="J63" s="134">
        <v>5</v>
      </c>
      <c r="K63" s="134"/>
      <c r="L63" s="130">
        <f t="shared" si="2"/>
        <v>0</v>
      </c>
      <c r="M63" s="134"/>
      <c r="N63" s="130">
        <f t="shared" si="2"/>
        <v>0</v>
      </c>
      <c r="O63" s="130"/>
      <c r="P63" s="130">
        <f t="shared" si="2"/>
        <v>0</v>
      </c>
      <c r="R63">
        <f t="shared" si="2"/>
        <v>0</v>
      </c>
    </row>
    <row r="64" spans="1:18" hidden="1" x14ac:dyDescent="0.25">
      <c r="A64" s="130"/>
      <c r="B64" s="150" t="s">
        <v>228</v>
      </c>
      <c r="C64" s="130"/>
      <c r="D64" s="130">
        <v>1</v>
      </c>
      <c r="E64" s="139"/>
      <c r="F64" s="130"/>
      <c r="G64" s="134"/>
      <c r="H64" s="134"/>
      <c r="I64" s="134"/>
      <c r="J64" s="134">
        <v>5</v>
      </c>
      <c r="K64" s="134"/>
      <c r="L64" s="130">
        <f t="shared" si="2"/>
        <v>0</v>
      </c>
      <c r="M64" s="134"/>
      <c r="N64" s="130">
        <f t="shared" si="2"/>
        <v>0</v>
      </c>
      <c r="O64" s="130"/>
      <c r="P64" s="130">
        <f t="shared" si="2"/>
        <v>0</v>
      </c>
      <c r="R64">
        <f t="shared" si="2"/>
        <v>0</v>
      </c>
    </row>
    <row r="65" spans="1:18" hidden="1" x14ac:dyDescent="0.25">
      <c r="A65" s="130"/>
      <c r="B65" s="150" t="s">
        <v>229</v>
      </c>
      <c r="C65" s="130"/>
      <c r="D65" s="130">
        <v>2</v>
      </c>
      <c r="E65" s="139"/>
      <c r="F65" s="130"/>
      <c r="G65" s="134"/>
      <c r="H65" s="134"/>
      <c r="I65" s="134"/>
      <c r="J65" s="134">
        <v>50</v>
      </c>
      <c r="K65" s="134"/>
      <c r="L65" s="130">
        <f t="shared" si="2"/>
        <v>0</v>
      </c>
      <c r="M65" s="134"/>
      <c r="N65" s="130">
        <f t="shared" si="2"/>
        <v>0</v>
      </c>
      <c r="O65" s="130"/>
      <c r="P65" s="130">
        <f t="shared" si="2"/>
        <v>0</v>
      </c>
      <c r="R65">
        <f t="shared" si="2"/>
        <v>0</v>
      </c>
    </row>
    <row r="66" spans="1:18" hidden="1" x14ac:dyDescent="0.25">
      <c r="A66" s="130"/>
      <c r="B66" s="150" t="s">
        <v>230</v>
      </c>
      <c r="C66" s="130"/>
      <c r="D66" s="130"/>
      <c r="E66" s="139"/>
      <c r="F66" s="130">
        <v>1</v>
      </c>
      <c r="G66" s="134"/>
      <c r="H66" s="134"/>
      <c r="I66" s="134"/>
      <c r="J66" s="134">
        <v>3</v>
      </c>
      <c r="K66" s="134"/>
      <c r="L66" s="130">
        <f t="shared" si="2"/>
        <v>0</v>
      </c>
      <c r="M66" s="134"/>
      <c r="N66" s="130">
        <f t="shared" si="2"/>
        <v>0</v>
      </c>
      <c r="O66" s="130"/>
      <c r="P66" s="130">
        <f t="shared" si="2"/>
        <v>0</v>
      </c>
      <c r="R66">
        <f t="shared" si="2"/>
        <v>0</v>
      </c>
    </row>
    <row r="67" spans="1:18" hidden="1" x14ac:dyDescent="0.25">
      <c r="A67" s="130"/>
      <c r="B67" s="150" t="s">
        <v>231</v>
      </c>
      <c r="C67" s="130"/>
      <c r="D67" s="130"/>
      <c r="E67" s="139"/>
      <c r="F67" s="130">
        <v>2</v>
      </c>
      <c r="G67" s="134"/>
      <c r="H67" s="134"/>
      <c r="I67" s="134"/>
      <c r="J67" s="134">
        <v>15</v>
      </c>
      <c r="K67" s="134"/>
      <c r="L67" s="130">
        <f t="shared" si="2"/>
        <v>0</v>
      </c>
      <c r="M67" s="134"/>
      <c r="N67" s="130">
        <f t="shared" si="2"/>
        <v>0</v>
      </c>
      <c r="O67" s="130"/>
      <c r="P67" s="130">
        <f t="shared" si="2"/>
        <v>0</v>
      </c>
      <c r="R67">
        <f t="shared" si="2"/>
        <v>0</v>
      </c>
    </row>
    <row r="68" spans="1:18" hidden="1" x14ac:dyDescent="0.25">
      <c r="A68" s="130"/>
      <c r="B68" s="150" t="s">
        <v>232</v>
      </c>
      <c r="C68" s="130"/>
      <c r="D68" s="130"/>
      <c r="E68" s="139"/>
      <c r="F68" s="130"/>
      <c r="G68" s="134"/>
      <c r="H68" s="134"/>
      <c r="I68" s="134"/>
      <c r="J68" s="134">
        <v>10</v>
      </c>
      <c r="K68" s="134"/>
      <c r="L68" s="130">
        <f t="shared" si="2"/>
        <v>0</v>
      </c>
      <c r="M68" s="134"/>
      <c r="N68" s="130">
        <f t="shared" si="2"/>
        <v>0</v>
      </c>
      <c r="O68" s="130"/>
      <c r="P68" s="130">
        <f t="shared" si="2"/>
        <v>0</v>
      </c>
      <c r="R68">
        <f t="shared" si="2"/>
        <v>0</v>
      </c>
    </row>
    <row r="69" spans="1:18" hidden="1" x14ac:dyDescent="0.25">
      <c r="A69" s="130"/>
      <c r="B69" s="150" t="s">
        <v>233</v>
      </c>
      <c r="C69" s="130"/>
      <c r="D69" s="130"/>
      <c r="E69" s="139"/>
      <c r="F69" s="130"/>
      <c r="G69" s="134"/>
      <c r="H69" s="134"/>
      <c r="I69" s="134"/>
      <c r="J69" s="134">
        <v>2</v>
      </c>
      <c r="K69" s="134"/>
      <c r="L69" s="130">
        <f t="shared" si="2"/>
        <v>0</v>
      </c>
      <c r="M69" s="134"/>
      <c r="N69" s="130">
        <f t="shared" si="2"/>
        <v>0</v>
      </c>
      <c r="O69" s="130"/>
      <c r="P69" s="130">
        <f t="shared" si="2"/>
        <v>0</v>
      </c>
      <c r="R69">
        <f t="shared" si="2"/>
        <v>0</v>
      </c>
    </row>
    <row r="70" spans="1:18" hidden="1" x14ac:dyDescent="0.25">
      <c r="A70" s="130"/>
      <c r="B70" s="150" t="s">
        <v>234</v>
      </c>
      <c r="C70" s="130"/>
      <c r="D70" s="130"/>
      <c r="E70" s="139"/>
      <c r="F70" s="130"/>
      <c r="G70" s="134"/>
      <c r="H70" s="134"/>
      <c r="I70" s="134"/>
      <c r="J70" s="134">
        <v>15</v>
      </c>
      <c r="K70" s="134"/>
      <c r="L70" s="130">
        <f t="shared" si="2"/>
        <v>0</v>
      </c>
      <c r="M70" s="134"/>
      <c r="N70" s="130">
        <f t="shared" si="2"/>
        <v>0</v>
      </c>
      <c r="O70" s="130"/>
      <c r="P70" s="130">
        <f t="shared" si="2"/>
        <v>0</v>
      </c>
      <c r="R70">
        <f t="shared" si="2"/>
        <v>0</v>
      </c>
    </row>
    <row r="71" spans="1:18" ht="15.75" hidden="1" thickBot="1" x14ac:dyDescent="0.3">
      <c r="A71" s="130"/>
      <c r="B71" s="151" t="s">
        <v>253</v>
      </c>
      <c r="C71" s="130"/>
      <c r="D71" s="130"/>
      <c r="E71" s="139"/>
      <c r="F71" s="130"/>
      <c r="G71" s="134"/>
      <c r="H71" s="134"/>
      <c r="I71" s="134"/>
      <c r="J71" s="134">
        <v>10</v>
      </c>
      <c r="K71" s="134"/>
      <c r="L71" s="130">
        <f t="shared" si="2"/>
        <v>0</v>
      </c>
      <c r="M71" s="134"/>
      <c r="N71" s="130">
        <f t="shared" si="2"/>
        <v>0</v>
      </c>
      <c r="O71" s="130"/>
      <c r="P71" s="130">
        <f t="shared" si="2"/>
        <v>0</v>
      </c>
      <c r="R71">
        <f t="shared" si="2"/>
        <v>0</v>
      </c>
    </row>
    <row r="72" spans="1:18" hidden="1" x14ac:dyDescent="0.25">
      <c r="A72" s="130"/>
      <c r="B72" s="130"/>
      <c r="C72" s="130"/>
      <c r="D72" s="130"/>
      <c r="E72" s="139"/>
      <c r="F72" s="130"/>
      <c r="G72" s="134"/>
      <c r="H72" s="134"/>
      <c r="I72" s="134"/>
      <c r="J72" s="134"/>
      <c r="K72" s="134"/>
      <c r="L72" s="134">
        <f>SUM(L59:L71)</f>
        <v>0</v>
      </c>
      <c r="M72" s="134"/>
      <c r="N72" s="134">
        <f>SUM(N59:N71)</f>
        <v>0</v>
      </c>
      <c r="O72" s="130"/>
      <c r="P72" s="134">
        <f>SUM(P59:P71)</f>
        <v>0</v>
      </c>
      <c r="R72" s="11">
        <f>SUM(R59:R71)</f>
        <v>0</v>
      </c>
    </row>
    <row r="73" spans="1:18" hidden="1" x14ac:dyDescent="0.25">
      <c r="A73" s="130"/>
      <c r="B73" s="149" t="s">
        <v>235</v>
      </c>
      <c r="C73" s="130"/>
      <c r="D73" s="130"/>
      <c r="E73" s="139"/>
      <c r="F73" s="130"/>
      <c r="G73" s="134"/>
      <c r="H73" s="134"/>
      <c r="I73" s="134"/>
      <c r="J73" s="134"/>
      <c r="K73" s="134"/>
      <c r="L73" s="130"/>
      <c r="M73" s="134"/>
      <c r="N73" s="130"/>
      <c r="O73" s="130"/>
      <c r="P73" s="130"/>
    </row>
    <row r="74" spans="1:18" hidden="1" x14ac:dyDescent="0.25">
      <c r="A74" s="130"/>
      <c r="B74" s="150" t="s">
        <v>236</v>
      </c>
      <c r="C74" s="130"/>
      <c r="D74" s="130"/>
      <c r="E74" s="139"/>
      <c r="F74" s="130"/>
      <c r="G74" s="134"/>
      <c r="H74" s="134"/>
      <c r="I74" s="134"/>
      <c r="J74" s="134"/>
      <c r="K74" s="134"/>
      <c r="L74" s="130">
        <f>IF(OR($B$31=$B74,$B$33=$B74,$B$35=$B74,$B$35=$B74,$B$37=$B74,$B$39=$B74)=TRUE,D74,0)</f>
        <v>0</v>
      </c>
      <c r="M74" s="134"/>
      <c r="N74" s="130">
        <f t="shared" ref="N74:N90" si="3">IF(OR($B$31=$B74,$B$33=$B74,$B$35=$B74,$B$35=$B74,$B$37=$B74,$B$39=$B74)=TRUE,F74,0)</f>
        <v>0</v>
      </c>
      <c r="O74" s="130"/>
      <c r="P74" s="130">
        <f t="shared" ref="P74:P90" si="4">IF(OR($B$31=$B74,$B$33=$B74,$B$35=$B74,$B$35=$B74,$B$37=$B74,$B$39=$B74)=TRUE,H74,0)</f>
        <v>0</v>
      </c>
      <c r="R74">
        <f t="shared" ref="R74:R90" si="5">IF(OR($B$31=$B74,$B$33=$B74,$B$35=$B74,$B$35=$B74,$B$37=$B74,$B$39=$B74)=TRUE,J74,0)</f>
        <v>0</v>
      </c>
    </row>
    <row r="75" spans="1:18" hidden="1" x14ac:dyDescent="0.25">
      <c r="A75" s="130"/>
      <c r="B75" s="150" t="s">
        <v>240</v>
      </c>
      <c r="C75" s="130"/>
      <c r="D75" s="130"/>
      <c r="E75" s="139"/>
      <c r="F75" s="130"/>
      <c r="G75" s="134"/>
      <c r="H75" s="134"/>
      <c r="I75" s="134"/>
      <c r="J75" s="134"/>
      <c r="K75" s="134"/>
      <c r="L75" s="130">
        <f t="shared" ref="L75:L90" si="6">IF(OR($B$31=$B75,$B$33=$B75,$B$35=$B75,$B$35=$B75,$B$37=$B75,$B$39=$B75)=TRUE,D75,0)</f>
        <v>0</v>
      </c>
      <c r="M75" s="134"/>
      <c r="N75" s="130">
        <f t="shared" si="3"/>
        <v>0</v>
      </c>
      <c r="O75" s="130"/>
      <c r="P75" s="130">
        <f t="shared" si="4"/>
        <v>0</v>
      </c>
      <c r="R75">
        <f t="shared" si="5"/>
        <v>0</v>
      </c>
    </row>
    <row r="76" spans="1:18" hidden="1" x14ac:dyDescent="0.25">
      <c r="A76" s="130"/>
      <c r="B76" s="150" t="s">
        <v>251</v>
      </c>
      <c r="C76" s="130"/>
      <c r="D76" s="130"/>
      <c r="E76" s="139"/>
      <c r="F76" s="130"/>
      <c r="G76" s="134"/>
      <c r="H76" s="134"/>
      <c r="I76" s="134"/>
      <c r="J76" s="134">
        <v>-1</v>
      </c>
      <c r="K76" s="134"/>
      <c r="L76" s="130">
        <f t="shared" si="6"/>
        <v>0</v>
      </c>
      <c r="M76" s="134"/>
      <c r="N76" s="130">
        <f t="shared" si="3"/>
        <v>0</v>
      </c>
      <c r="O76" s="130"/>
      <c r="P76" s="130">
        <f t="shared" si="4"/>
        <v>0</v>
      </c>
      <c r="R76">
        <f t="shared" si="5"/>
        <v>0</v>
      </c>
    </row>
    <row r="77" spans="1:18" hidden="1" x14ac:dyDescent="0.25">
      <c r="A77" s="130"/>
      <c r="B77" s="150" t="s">
        <v>237</v>
      </c>
      <c r="C77" s="134"/>
      <c r="D77" s="130"/>
      <c r="E77" s="139"/>
      <c r="F77" s="130"/>
      <c r="G77" s="134"/>
      <c r="H77" s="134"/>
      <c r="I77" s="134"/>
      <c r="J77" s="134"/>
      <c r="K77" s="134"/>
      <c r="L77" s="130">
        <f t="shared" si="6"/>
        <v>0</v>
      </c>
      <c r="M77" s="134"/>
      <c r="N77" s="130">
        <f t="shared" si="3"/>
        <v>0</v>
      </c>
      <c r="O77" s="130"/>
      <c r="P77" s="130">
        <f t="shared" si="4"/>
        <v>0</v>
      </c>
      <c r="R77">
        <f t="shared" si="5"/>
        <v>0</v>
      </c>
    </row>
    <row r="78" spans="1:18" hidden="1" x14ac:dyDescent="0.25">
      <c r="A78" s="130"/>
      <c r="B78" s="150" t="s">
        <v>239</v>
      </c>
      <c r="C78" s="134"/>
      <c r="D78" s="130"/>
      <c r="E78" s="139"/>
      <c r="F78" s="130"/>
      <c r="G78" s="134"/>
      <c r="H78" s="134"/>
      <c r="I78" s="134"/>
      <c r="J78" s="134"/>
      <c r="K78" s="134"/>
      <c r="L78" s="130">
        <f t="shared" si="6"/>
        <v>0</v>
      </c>
      <c r="M78" s="134"/>
      <c r="N78" s="130">
        <f t="shared" si="3"/>
        <v>0</v>
      </c>
      <c r="O78" s="130"/>
      <c r="P78" s="130">
        <f t="shared" si="4"/>
        <v>0</v>
      </c>
      <c r="R78">
        <f t="shared" si="5"/>
        <v>0</v>
      </c>
    </row>
    <row r="79" spans="1:18" hidden="1" x14ac:dyDescent="0.25">
      <c r="A79" s="130"/>
      <c r="B79" s="150" t="s">
        <v>243</v>
      </c>
      <c r="C79" s="134"/>
      <c r="D79" s="130"/>
      <c r="E79" s="139"/>
      <c r="F79" s="130"/>
      <c r="G79" s="134"/>
      <c r="H79" s="134"/>
      <c r="I79" s="134"/>
      <c r="J79" s="134"/>
      <c r="K79" s="134"/>
      <c r="L79" s="130">
        <f t="shared" si="6"/>
        <v>0</v>
      </c>
      <c r="M79" s="134"/>
      <c r="N79" s="130">
        <f t="shared" si="3"/>
        <v>0</v>
      </c>
      <c r="O79" s="130"/>
      <c r="P79" s="130">
        <f t="shared" si="4"/>
        <v>0</v>
      </c>
      <c r="R79">
        <f t="shared" si="5"/>
        <v>0</v>
      </c>
    </row>
    <row r="80" spans="1:18" hidden="1" x14ac:dyDescent="0.25">
      <c r="A80" s="130"/>
      <c r="B80" s="150" t="s">
        <v>252</v>
      </c>
      <c r="C80" s="134"/>
      <c r="D80" s="130"/>
      <c r="E80" s="139"/>
      <c r="F80" s="130"/>
      <c r="G80" s="134"/>
      <c r="H80" s="134"/>
      <c r="I80" s="134"/>
      <c r="J80" s="134"/>
      <c r="K80" s="134"/>
      <c r="L80" s="130">
        <f t="shared" si="6"/>
        <v>0</v>
      </c>
      <c r="M80" s="134"/>
      <c r="N80" s="130">
        <f t="shared" si="3"/>
        <v>0</v>
      </c>
      <c r="O80" s="130"/>
      <c r="P80" s="130">
        <f t="shared" si="4"/>
        <v>0</v>
      </c>
      <c r="R80">
        <f t="shared" si="5"/>
        <v>0</v>
      </c>
    </row>
    <row r="81" spans="1:18" hidden="1" x14ac:dyDescent="0.25">
      <c r="A81" s="130"/>
      <c r="B81" s="150" t="s">
        <v>244</v>
      </c>
      <c r="C81" s="134"/>
      <c r="D81" s="130"/>
      <c r="E81" s="139"/>
      <c r="F81" s="130">
        <v>1</v>
      </c>
      <c r="G81" s="134"/>
      <c r="H81" s="134"/>
      <c r="I81" s="134"/>
      <c r="J81" s="134"/>
      <c r="K81" s="134"/>
      <c r="L81" s="130">
        <f t="shared" si="6"/>
        <v>0</v>
      </c>
      <c r="M81" s="134"/>
      <c r="N81" s="130">
        <f t="shared" si="3"/>
        <v>0</v>
      </c>
      <c r="O81" s="130"/>
      <c r="P81" s="130">
        <f t="shared" si="4"/>
        <v>0</v>
      </c>
      <c r="R81">
        <f t="shared" si="5"/>
        <v>0</v>
      </c>
    </row>
    <row r="82" spans="1:18" hidden="1" x14ac:dyDescent="0.25">
      <c r="A82" s="130"/>
      <c r="B82" s="150" t="s">
        <v>245</v>
      </c>
      <c r="C82" s="134"/>
      <c r="D82" s="130"/>
      <c r="E82" s="139"/>
      <c r="F82" s="130"/>
      <c r="G82" s="134"/>
      <c r="H82" s="134"/>
      <c r="I82" s="134"/>
      <c r="J82" s="134"/>
      <c r="K82" s="134"/>
      <c r="L82" s="130">
        <f t="shared" si="6"/>
        <v>0</v>
      </c>
      <c r="M82" s="134"/>
      <c r="N82" s="130">
        <f t="shared" si="3"/>
        <v>0</v>
      </c>
      <c r="O82" s="130"/>
      <c r="P82" s="130">
        <f t="shared" si="4"/>
        <v>0</v>
      </c>
      <c r="R82">
        <f t="shared" si="5"/>
        <v>0</v>
      </c>
    </row>
    <row r="83" spans="1:18" hidden="1" x14ac:dyDescent="0.25">
      <c r="A83" s="130"/>
      <c r="B83" s="150" t="s">
        <v>241</v>
      </c>
      <c r="C83" s="134"/>
      <c r="D83" s="130"/>
      <c r="E83" s="139"/>
      <c r="F83" s="130"/>
      <c r="G83" s="134"/>
      <c r="H83" s="134"/>
      <c r="I83" s="134"/>
      <c r="J83" s="134"/>
      <c r="K83" s="134"/>
      <c r="L83" s="130">
        <f t="shared" si="6"/>
        <v>0</v>
      </c>
      <c r="M83" s="134"/>
      <c r="N83" s="130">
        <f t="shared" si="3"/>
        <v>0</v>
      </c>
      <c r="O83" s="130"/>
      <c r="P83" s="130">
        <f t="shared" si="4"/>
        <v>0</v>
      </c>
      <c r="R83">
        <f t="shared" si="5"/>
        <v>0</v>
      </c>
    </row>
    <row r="84" spans="1:18" hidden="1" x14ac:dyDescent="0.25">
      <c r="A84" s="130"/>
      <c r="B84" s="150" t="s">
        <v>246</v>
      </c>
      <c r="C84" s="134"/>
      <c r="D84" s="130"/>
      <c r="E84" s="139"/>
      <c r="F84" s="130"/>
      <c r="G84" s="134"/>
      <c r="H84" s="134"/>
      <c r="I84" s="134"/>
      <c r="J84" s="134"/>
      <c r="K84" s="134"/>
      <c r="L84" s="130">
        <f t="shared" si="6"/>
        <v>0</v>
      </c>
      <c r="M84" s="134"/>
      <c r="N84" s="130">
        <f t="shared" si="3"/>
        <v>0</v>
      </c>
      <c r="O84" s="130"/>
      <c r="P84" s="130">
        <f t="shared" si="4"/>
        <v>0</v>
      </c>
      <c r="R84">
        <f t="shared" si="5"/>
        <v>0</v>
      </c>
    </row>
    <row r="85" spans="1:18" hidden="1" x14ac:dyDescent="0.25">
      <c r="A85" s="130"/>
      <c r="B85" s="150" t="s">
        <v>238</v>
      </c>
      <c r="C85" s="134"/>
      <c r="D85" s="130"/>
      <c r="E85" s="139"/>
      <c r="F85" s="130"/>
      <c r="G85" s="134"/>
      <c r="H85" s="134"/>
      <c r="I85" s="134"/>
      <c r="J85" s="134"/>
      <c r="K85" s="134"/>
      <c r="L85" s="130">
        <f t="shared" si="6"/>
        <v>0</v>
      </c>
      <c r="M85" s="134"/>
      <c r="N85" s="130">
        <f t="shared" si="3"/>
        <v>0</v>
      </c>
      <c r="O85" s="130"/>
      <c r="P85" s="130">
        <f t="shared" si="4"/>
        <v>0</v>
      </c>
      <c r="R85">
        <f t="shared" si="5"/>
        <v>0</v>
      </c>
    </row>
    <row r="86" spans="1:18" hidden="1" x14ac:dyDescent="0.25">
      <c r="A86" s="130"/>
      <c r="B86" s="150" t="s">
        <v>247</v>
      </c>
      <c r="C86" s="134"/>
      <c r="D86" s="130"/>
      <c r="E86" s="139"/>
      <c r="F86" s="130"/>
      <c r="G86" s="134"/>
      <c r="H86" s="134"/>
      <c r="I86" s="134"/>
      <c r="J86" s="134"/>
      <c r="K86" s="134"/>
      <c r="L86" s="130">
        <f t="shared" si="6"/>
        <v>0</v>
      </c>
      <c r="M86" s="134"/>
      <c r="N86" s="130">
        <f t="shared" si="3"/>
        <v>0</v>
      </c>
      <c r="O86" s="130"/>
      <c r="P86" s="130">
        <f t="shared" si="4"/>
        <v>0</v>
      </c>
      <c r="R86">
        <f t="shared" si="5"/>
        <v>0</v>
      </c>
    </row>
    <row r="87" spans="1:18" hidden="1" x14ac:dyDescent="0.25">
      <c r="A87" s="130"/>
      <c r="B87" s="150" t="s">
        <v>248</v>
      </c>
      <c r="C87" s="134"/>
      <c r="D87" s="130"/>
      <c r="E87" s="139"/>
      <c r="F87" s="130">
        <v>10</v>
      </c>
      <c r="G87" s="134"/>
      <c r="H87" s="134"/>
      <c r="I87" s="134"/>
      <c r="J87" s="134"/>
      <c r="K87" s="134"/>
      <c r="L87" s="130">
        <f t="shared" si="6"/>
        <v>0</v>
      </c>
      <c r="M87" s="134"/>
      <c r="N87" s="130">
        <f t="shared" si="3"/>
        <v>0</v>
      </c>
      <c r="O87" s="130"/>
      <c r="P87" s="130">
        <f t="shared" si="4"/>
        <v>0</v>
      </c>
      <c r="R87">
        <f t="shared" si="5"/>
        <v>0</v>
      </c>
    </row>
    <row r="88" spans="1:18" hidden="1" x14ac:dyDescent="0.25">
      <c r="A88" s="130"/>
      <c r="B88" s="150" t="s">
        <v>249</v>
      </c>
      <c r="C88" s="134"/>
      <c r="D88" s="130"/>
      <c r="E88" s="139"/>
      <c r="F88" s="130"/>
      <c r="G88" s="134"/>
      <c r="H88" s="134"/>
      <c r="I88" s="134"/>
      <c r="J88" s="134"/>
      <c r="K88" s="134"/>
      <c r="L88" s="130">
        <f t="shared" si="6"/>
        <v>0</v>
      </c>
      <c r="M88" s="134"/>
      <c r="N88" s="130">
        <f t="shared" si="3"/>
        <v>0</v>
      </c>
      <c r="O88" s="130"/>
      <c r="P88" s="130">
        <f t="shared" si="4"/>
        <v>0</v>
      </c>
      <c r="R88">
        <f t="shared" si="5"/>
        <v>0</v>
      </c>
    </row>
    <row r="89" spans="1:18" hidden="1" x14ac:dyDescent="0.25">
      <c r="A89" s="130"/>
      <c r="B89" s="150" t="s">
        <v>250</v>
      </c>
      <c r="C89" s="134"/>
      <c r="D89" s="130"/>
      <c r="E89" s="139"/>
      <c r="F89" s="130"/>
      <c r="G89" s="134"/>
      <c r="H89" s="134"/>
      <c r="I89" s="134"/>
      <c r="J89" s="134"/>
      <c r="K89" s="134"/>
      <c r="L89" s="130">
        <f t="shared" si="6"/>
        <v>0</v>
      </c>
      <c r="M89" s="134"/>
      <c r="N89" s="130">
        <f t="shared" si="3"/>
        <v>0</v>
      </c>
      <c r="O89" s="130"/>
      <c r="P89" s="130">
        <f t="shared" si="4"/>
        <v>0</v>
      </c>
      <c r="R89">
        <f t="shared" si="5"/>
        <v>0</v>
      </c>
    </row>
    <row r="90" spans="1:18" ht="15.75" hidden="1" thickBot="1" x14ac:dyDescent="0.3">
      <c r="A90" s="130"/>
      <c r="B90" s="151" t="s">
        <v>242</v>
      </c>
      <c r="C90" s="134"/>
      <c r="D90" s="130"/>
      <c r="E90" s="139"/>
      <c r="F90" s="130"/>
      <c r="G90" s="134"/>
      <c r="H90" s="134"/>
      <c r="I90" s="134"/>
      <c r="J90" s="134"/>
      <c r="K90" s="134"/>
      <c r="L90" s="130">
        <f t="shared" si="6"/>
        <v>0</v>
      </c>
      <c r="M90" s="134"/>
      <c r="N90" s="130">
        <f t="shared" si="3"/>
        <v>0</v>
      </c>
      <c r="O90" s="130"/>
      <c r="P90" s="130">
        <f t="shared" si="4"/>
        <v>0</v>
      </c>
      <c r="R90">
        <f t="shared" si="5"/>
        <v>0</v>
      </c>
    </row>
    <row r="91" spans="1:18" hidden="1" x14ac:dyDescent="0.25">
      <c r="A91" s="130"/>
      <c r="B91" s="130"/>
      <c r="C91" s="134"/>
      <c r="D91" s="130"/>
      <c r="E91" s="139"/>
      <c r="F91" s="130"/>
      <c r="G91" s="134"/>
      <c r="H91" s="134"/>
      <c r="I91" s="134"/>
      <c r="J91" s="134"/>
      <c r="K91" s="134"/>
      <c r="L91" s="134">
        <f>SUM(L74:L90)</f>
        <v>0</v>
      </c>
      <c r="M91" s="134"/>
      <c r="N91" s="134">
        <f>SUM(N74:N90)</f>
        <v>0</v>
      </c>
      <c r="O91" s="130"/>
      <c r="P91" s="134">
        <f>SUM(P74:P90)</f>
        <v>0</v>
      </c>
      <c r="R91" s="11">
        <f>SUM(R74:R90)</f>
        <v>0</v>
      </c>
    </row>
    <row r="92" spans="1:18" x14ac:dyDescent="0.25">
      <c r="A92" s="130"/>
      <c r="B92" s="130"/>
      <c r="C92" s="134"/>
      <c r="D92" s="130"/>
      <c r="E92" s="139"/>
      <c r="F92" s="130"/>
      <c r="G92" s="134"/>
      <c r="H92" s="134"/>
      <c r="I92" s="134"/>
      <c r="J92" s="134"/>
      <c r="K92" s="134"/>
      <c r="L92" s="134"/>
      <c r="M92" s="134"/>
      <c r="N92" s="130"/>
      <c r="O92" s="130"/>
      <c r="P92" s="130"/>
    </row>
    <row r="93" spans="1:18" x14ac:dyDescent="0.25">
      <c r="A93" s="130"/>
      <c r="B93" s="130"/>
      <c r="C93" s="134"/>
      <c r="D93" s="130"/>
      <c r="E93" s="139"/>
      <c r="F93" s="130"/>
      <c r="G93" s="134"/>
      <c r="H93" s="134"/>
      <c r="I93" s="134"/>
      <c r="J93" s="134"/>
      <c r="K93" s="134"/>
      <c r="L93" s="134"/>
      <c r="M93" s="134"/>
      <c r="N93" s="130"/>
      <c r="O93" s="130"/>
      <c r="P93" s="130"/>
    </row>
    <row r="94" spans="1:18" x14ac:dyDescent="0.25">
      <c r="A94" s="130"/>
      <c r="B94" s="130"/>
      <c r="C94" s="134"/>
      <c r="D94" s="130"/>
      <c r="E94" s="139"/>
      <c r="F94" s="130"/>
      <c r="G94" s="134"/>
      <c r="H94" s="134"/>
      <c r="I94" s="134"/>
      <c r="J94" s="134"/>
      <c r="K94" s="134"/>
      <c r="L94" s="134"/>
      <c r="M94" s="134"/>
      <c r="N94" s="130"/>
      <c r="O94" s="130"/>
      <c r="P94" s="130"/>
    </row>
    <row r="95" spans="1:18" x14ac:dyDescent="0.25">
      <c r="A95" s="130"/>
      <c r="B95" s="130"/>
      <c r="C95" s="134"/>
      <c r="D95" s="130"/>
      <c r="E95" s="139"/>
      <c r="F95" s="130"/>
      <c r="G95" s="134"/>
      <c r="H95" s="134"/>
      <c r="I95" s="134"/>
      <c r="J95" s="134"/>
      <c r="K95" s="134"/>
      <c r="L95" s="134"/>
      <c r="M95" s="134"/>
      <c r="N95" s="130"/>
      <c r="O95" s="130"/>
      <c r="P95" s="130"/>
    </row>
  </sheetData>
  <sheetProtection sheet="1" objects="1" scenarios="1" selectLockedCells="1"/>
  <mergeCells count="37">
    <mergeCell ref="A40:L40"/>
    <mergeCell ref="B31:D31"/>
    <mergeCell ref="F31:L37"/>
    <mergeCell ref="B33:D33"/>
    <mergeCell ref="B35:D35"/>
    <mergeCell ref="B37:D37"/>
    <mergeCell ref="B39:D39"/>
    <mergeCell ref="F39:J39"/>
    <mergeCell ref="B29:D29"/>
    <mergeCell ref="F29:L29"/>
    <mergeCell ref="B17:D17"/>
    <mergeCell ref="F17:L17"/>
    <mergeCell ref="B19:D19"/>
    <mergeCell ref="F19:L19"/>
    <mergeCell ref="B21:D21"/>
    <mergeCell ref="F21:L21"/>
    <mergeCell ref="B23:D23"/>
    <mergeCell ref="F23:L23"/>
    <mergeCell ref="D25:H25"/>
    <mergeCell ref="F27:H27"/>
    <mergeCell ref="J27:L27"/>
    <mergeCell ref="A1:M1"/>
    <mergeCell ref="A2:A39"/>
    <mergeCell ref="D2:H2"/>
    <mergeCell ref="M2:M40"/>
    <mergeCell ref="D4:F4"/>
    <mergeCell ref="H4:J4"/>
    <mergeCell ref="B7:D7"/>
    <mergeCell ref="F7:L7"/>
    <mergeCell ref="F9:H9"/>
    <mergeCell ref="J9:L9"/>
    <mergeCell ref="F11:H11"/>
    <mergeCell ref="J11:L11"/>
    <mergeCell ref="F13:H13"/>
    <mergeCell ref="J13:L13"/>
    <mergeCell ref="B15:D15"/>
    <mergeCell ref="F15:L15"/>
  </mergeCells>
  <dataValidations count="9">
    <dataValidation type="list" allowBlank="1" showInputMessage="1" showErrorMessage="1" sqref="L26 J27:L27">
      <formula1>HD</formula1>
    </dataValidation>
    <dataValidation type="list" allowBlank="1" showInputMessage="1" showErrorMessage="1" sqref="L25">
      <formula1>CR</formula1>
    </dataValidation>
    <dataValidation type="list" allowBlank="1" showInputMessage="1" showErrorMessage="1" sqref="D4">
      <formula1>Size</formula1>
    </dataValidation>
    <dataValidation type="list" allowBlank="1" showInputMessage="1" showErrorMessage="1" sqref="F17:L17 F21:L21 F19:L19 F23:L23">
      <formula1>Resources</formula1>
    </dataValidation>
    <dataValidation type="list" allowBlank="1" showInputMessage="1" showErrorMessage="1" sqref="B31:D31 B33:D33 B35:D35 B37:D37 B39:D39">
      <formula1>Abilities</formula1>
    </dataValidation>
    <dataValidation type="list" allowBlank="1" showInputMessage="1" showErrorMessage="1" sqref="L4">
      <formula1>Active</formula1>
    </dataValidation>
    <dataValidation type="list" allowBlank="1" showInputMessage="1" showErrorMessage="1" sqref="B17:D17 B19:D19 B21:D21 B23:D23">
      <formula1>Tactics</formula1>
    </dataValidation>
    <dataValidation type="list" allowBlank="1" showInputMessage="1" showErrorMessage="1" sqref="L39">
      <formula1>CHA</formula1>
    </dataValidation>
    <dataValidation type="list" allowBlank="1" showInputMessage="1" showErrorMessage="1" sqref="J13:L13">
      <formula1>Morale</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R95"/>
  <sheetViews>
    <sheetView workbookViewId="0">
      <selection activeCell="B23" sqref="B23:D23"/>
    </sheetView>
  </sheetViews>
  <sheetFormatPr defaultRowHeight="15" x14ac:dyDescent="0.25"/>
  <cols>
    <col min="1" max="1" width="0.85546875" customWidth="1"/>
    <col min="2" max="2" width="18.7109375" customWidth="1"/>
    <col min="3" max="3" width="0.85546875" style="11" customWidth="1"/>
    <col min="4" max="4" width="10.7109375" customWidth="1"/>
    <col min="5" max="5" width="0.85546875" style="5" customWidth="1"/>
    <col min="6" max="6" width="8.28515625" customWidth="1"/>
    <col min="7" max="7" width="0.85546875" style="11" customWidth="1"/>
    <col min="8" max="8" width="10.7109375" style="11" customWidth="1"/>
    <col min="9" max="9" width="0.85546875" style="11" customWidth="1"/>
    <col min="10" max="10" width="4.7109375" style="11" customWidth="1"/>
    <col min="11" max="11" width="0.85546875" style="11" customWidth="1"/>
    <col min="12" max="12" width="5.7109375" style="11" customWidth="1"/>
    <col min="13" max="13" width="0.85546875" style="11" customWidth="1"/>
    <col min="15" max="15" width="0.85546875" customWidth="1"/>
    <col min="17" max="17" width="0.85546875" customWidth="1"/>
  </cols>
  <sheetData>
    <row r="1" spans="1:16" ht="5.0999999999999996" customHeight="1" thickBot="1" x14ac:dyDescent="0.3">
      <c r="A1" s="500"/>
      <c r="B1" s="501"/>
      <c r="C1" s="501"/>
      <c r="D1" s="501"/>
      <c r="E1" s="501"/>
      <c r="F1" s="501"/>
      <c r="G1" s="501"/>
      <c r="H1" s="501"/>
      <c r="I1" s="501"/>
      <c r="J1" s="501"/>
      <c r="K1" s="501"/>
      <c r="L1" s="501"/>
      <c r="M1" s="502"/>
      <c r="N1" s="130"/>
      <c r="O1" s="130"/>
      <c r="P1" s="130"/>
    </row>
    <row r="2" spans="1:16" ht="15.75" thickBot="1" x14ac:dyDescent="0.3">
      <c r="A2" s="480"/>
      <c r="B2" s="131" t="s">
        <v>83</v>
      </c>
      <c r="C2" s="132"/>
      <c r="D2" s="455"/>
      <c r="E2" s="372"/>
      <c r="F2" s="372"/>
      <c r="G2" s="372"/>
      <c r="H2" s="373"/>
      <c r="I2" s="111"/>
      <c r="J2" s="131" t="s">
        <v>187</v>
      </c>
      <c r="K2" s="97"/>
      <c r="L2" s="152">
        <f>IF(D4="Fine",(L25-8),(IF(D4="Dimunitive",(L25-6),(IF(D4="Tiny",(L25-4),(IF(D4="Small",(L25-2),(IF(D4="Medium",(L25),(IF(D4="Large",(L25+2),(IF(D4="Huge",(L25+4),(IF(D4="Gargantuan",(L25+6),(IF(D4="Colossal",(L25+8),0)))))))))))))))))</f>
        <v>0</v>
      </c>
      <c r="M2" s="497"/>
      <c r="N2" s="130"/>
      <c r="O2" s="130"/>
      <c r="P2" s="130"/>
    </row>
    <row r="3" spans="1:16" s="1" customFormat="1" ht="3" customHeight="1" thickBot="1" x14ac:dyDescent="0.3">
      <c r="A3" s="495"/>
      <c r="B3" s="132"/>
      <c r="C3" s="132"/>
      <c r="D3" s="133"/>
      <c r="E3" s="134"/>
      <c r="F3" s="132"/>
      <c r="G3" s="132"/>
      <c r="H3" s="132"/>
      <c r="I3" s="132"/>
      <c r="J3" s="132"/>
      <c r="K3" s="132"/>
      <c r="L3" s="134"/>
      <c r="M3" s="498"/>
      <c r="N3" s="135"/>
      <c r="O3" s="135"/>
      <c r="P3" s="135"/>
    </row>
    <row r="4" spans="1:16" ht="15.75" thickBot="1" x14ac:dyDescent="0.3">
      <c r="A4" s="495"/>
      <c r="B4" s="131" t="s">
        <v>43</v>
      </c>
      <c r="C4" s="132"/>
      <c r="D4" s="455"/>
      <c r="E4" s="372"/>
      <c r="F4" s="372"/>
      <c r="G4" s="136"/>
      <c r="H4" s="496" t="s">
        <v>255</v>
      </c>
      <c r="I4" s="495"/>
      <c r="J4" s="495"/>
      <c r="K4" s="134"/>
      <c r="L4" s="129"/>
      <c r="M4" s="498"/>
      <c r="N4" s="130"/>
      <c r="O4" s="130"/>
      <c r="P4" s="130"/>
    </row>
    <row r="5" spans="1:16" s="1" customFormat="1" ht="3" customHeight="1" x14ac:dyDescent="0.25">
      <c r="A5" s="495"/>
      <c r="B5" s="132"/>
      <c r="C5" s="132"/>
      <c r="D5" s="137"/>
      <c r="E5" s="137"/>
      <c r="F5" s="134"/>
      <c r="G5" s="134"/>
      <c r="H5" s="134"/>
      <c r="I5" s="134"/>
      <c r="J5" s="134"/>
      <c r="K5" s="134"/>
      <c r="L5" s="134"/>
      <c r="M5" s="498"/>
      <c r="N5" s="135"/>
      <c r="O5" s="135"/>
      <c r="P5" s="135"/>
    </row>
    <row r="6" spans="1:16" s="1" customFormat="1" ht="3" customHeight="1" x14ac:dyDescent="0.25">
      <c r="A6" s="495"/>
      <c r="B6" s="132"/>
      <c r="C6" s="132"/>
      <c r="D6" s="137"/>
      <c r="E6" s="137"/>
      <c r="F6" s="134"/>
      <c r="G6" s="134"/>
      <c r="H6" s="134"/>
      <c r="I6" s="134"/>
      <c r="J6" s="134"/>
      <c r="K6" s="134"/>
      <c r="L6" s="134"/>
      <c r="M6" s="498"/>
      <c r="N6" s="135"/>
      <c r="O6" s="135"/>
      <c r="P6" s="135"/>
    </row>
    <row r="7" spans="1:16" x14ac:dyDescent="0.25">
      <c r="A7" s="495"/>
      <c r="B7" s="408" t="s">
        <v>182</v>
      </c>
      <c r="C7" s="480"/>
      <c r="D7" s="480"/>
      <c r="E7" s="138"/>
      <c r="F7" s="408" t="s">
        <v>183</v>
      </c>
      <c r="G7" s="480"/>
      <c r="H7" s="480"/>
      <c r="I7" s="480"/>
      <c r="J7" s="480"/>
      <c r="K7" s="480"/>
      <c r="L7" s="480"/>
      <c r="M7" s="498"/>
      <c r="N7" s="130"/>
      <c r="O7" s="130"/>
      <c r="P7" s="130"/>
    </row>
    <row r="8" spans="1:16" ht="3" customHeight="1" thickBot="1" x14ac:dyDescent="0.3">
      <c r="A8" s="495"/>
      <c r="B8" s="139"/>
      <c r="C8" s="134"/>
      <c r="D8" s="139"/>
      <c r="E8" s="139"/>
      <c r="F8" s="139"/>
      <c r="G8" s="134"/>
      <c r="H8" s="134"/>
      <c r="I8" s="134"/>
      <c r="J8" s="134"/>
      <c r="K8" s="134"/>
      <c r="L8" s="134"/>
      <c r="M8" s="498"/>
      <c r="N8" s="130"/>
      <c r="O8" s="130"/>
      <c r="P8" s="130"/>
    </row>
    <row r="9" spans="1:16" ht="15.75" thickBot="1" x14ac:dyDescent="0.3">
      <c r="A9" s="495"/>
      <c r="B9" s="112" t="s">
        <v>185</v>
      </c>
      <c r="C9" s="140"/>
      <c r="D9" s="60">
        <f>ROUNDDOWN((L2*((J27+1)/2)),0)</f>
        <v>0</v>
      </c>
      <c r="E9" s="138"/>
      <c r="F9" s="479" t="s">
        <v>184</v>
      </c>
      <c r="G9" s="480"/>
      <c r="H9" s="480"/>
      <c r="I9" s="138"/>
      <c r="J9" s="391">
        <f>ROUNDDOWN(D27/15,0)</f>
        <v>0</v>
      </c>
      <c r="K9" s="392"/>
      <c r="L9" s="393"/>
      <c r="M9" s="498"/>
      <c r="N9" s="130"/>
      <c r="O9" s="130"/>
      <c r="P9" s="130"/>
    </row>
    <row r="10" spans="1:16" ht="3" customHeight="1" thickBot="1" x14ac:dyDescent="0.3">
      <c r="A10" s="495"/>
      <c r="B10" s="111"/>
      <c r="C10" s="134"/>
      <c r="D10" s="139"/>
      <c r="E10" s="139"/>
      <c r="F10" s="139"/>
      <c r="G10" s="134"/>
      <c r="H10" s="111"/>
      <c r="I10" s="134"/>
      <c r="J10" s="137"/>
      <c r="K10" s="137"/>
      <c r="L10" s="137"/>
      <c r="M10" s="498"/>
      <c r="N10" s="130"/>
      <c r="O10" s="130"/>
      <c r="P10" s="130"/>
    </row>
    <row r="11" spans="1:16" ht="15.75" thickBot="1" x14ac:dyDescent="0.3">
      <c r="A11" s="495"/>
      <c r="B11" s="112" t="s">
        <v>193</v>
      </c>
      <c r="C11" s="140"/>
      <c r="D11" s="60">
        <f>L2+L57+L72+L91</f>
        <v>0</v>
      </c>
      <c r="E11" s="138"/>
      <c r="F11" s="479" t="s">
        <v>63</v>
      </c>
      <c r="G11" s="480"/>
      <c r="H11" s="480"/>
      <c r="I11" s="138"/>
      <c r="J11" s="391">
        <f>IF(L2=0,0,IF(((L2/2)+R57+R72+R91)&lt;1,1,ROUNDUP(((L2/2)+R57+R72+R91),0)))</f>
        <v>0</v>
      </c>
      <c r="K11" s="392"/>
      <c r="L11" s="393"/>
      <c r="M11" s="498"/>
      <c r="N11" s="130"/>
      <c r="O11" s="130"/>
      <c r="P11" s="130"/>
    </row>
    <row r="12" spans="1:16" ht="3" customHeight="1" thickBot="1" x14ac:dyDescent="0.3">
      <c r="A12" s="495"/>
      <c r="B12" s="111"/>
      <c r="C12" s="134"/>
      <c r="D12" s="139"/>
      <c r="E12" s="139"/>
      <c r="F12" s="139"/>
      <c r="G12" s="134"/>
      <c r="H12" s="111"/>
      <c r="I12" s="134"/>
      <c r="J12" s="137"/>
      <c r="K12" s="137"/>
      <c r="L12" s="137"/>
      <c r="M12" s="498"/>
      <c r="N12" s="130"/>
      <c r="O12" s="130"/>
      <c r="P12" s="130"/>
    </row>
    <row r="13" spans="1:16" ht="15.75" thickBot="1" x14ac:dyDescent="0.3">
      <c r="A13" s="495"/>
      <c r="B13" s="112" t="s">
        <v>194</v>
      </c>
      <c r="C13" s="140"/>
      <c r="D13" s="60">
        <f>10+L2+N57+N72+N91</f>
        <v>10</v>
      </c>
      <c r="E13" s="138"/>
      <c r="F13" s="479" t="s">
        <v>269</v>
      </c>
      <c r="G13" s="480"/>
      <c r="H13" s="480"/>
      <c r="I13" s="138"/>
      <c r="J13" s="505"/>
      <c r="K13" s="506"/>
      <c r="L13" s="507"/>
      <c r="M13" s="498"/>
      <c r="N13" s="130"/>
      <c r="O13" s="130"/>
      <c r="P13" s="130"/>
    </row>
    <row r="14" spans="1:16" ht="3" customHeight="1" x14ac:dyDescent="0.25">
      <c r="A14" s="495"/>
      <c r="B14" s="139"/>
      <c r="C14" s="134"/>
      <c r="D14" s="139"/>
      <c r="E14" s="139"/>
      <c r="F14" s="139"/>
      <c r="G14" s="134"/>
      <c r="H14" s="134"/>
      <c r="I14" s="134"/>
      <c r="J14" s="134"/>
      <c r="K14" s="134"/>
      <c r="L14" s="134"/>
      <c r="M14" s="498"/>
      <c r="N14" s="130"/>
      <c r="O14" s="130"/>
      <c r="P14" s="130"/>
    </row>
    <row r="15" spans="1:16" x14ac:dyDescent="0.25">
      <c r="A15" s="495"/>
      <c r="B15" s="408" t="s">
        <v>186</v>
      </c>
      <c r="C15" s="480"/>
      <c r="D15" s="480"/>
      <c r="E15" s="138"/>
      <c r="F15" s="408" t="s">
        <v>56</v>
      </c>
      <c r="G15" s="480"/>
      <c r="H15" s="480"/>
      <c r="I15" s="480"/>
      <c r="J15" s="480"/>
      <c r="K15" s="480"/>
      <c r="L15" s="480"/>
      <c r="M15" s="498"/>
      <c r="N15" s="130"/>
      <c r="O15" s="130"/>
      <c r="P15" s="130"/>
    </row>
    <row r="16" spans="1:16" s="5" customFormat="1" ht="3" customHeight="1" thickBot="1" x14ac:dyDescent="0.3">
      <c r="A16" s="495"/>
      <c r="B16" s="141"/>
      <c r="C16" s="141"/>
      <c r="D16" s="141"/>
      <c r="E16" s="141"/>
      <c r="F16" s="141"/>
      <c r="G16" s="141"/>
      <c r="H16" s="141"/>
      <c r="I16" s="141"/>
      <c r="J16" s="141"/>
      <c r="K16" s="141"/>
      <c r="L16" s="141"/>
      <c r="M16" s="498"/>
      <c r="N16" s="139"/>
      <c r="O16" s="139"/>
      <c r="P16" s="139"/>
    </row>
    <row r="17" spans="1:16" s="5" customFormat="1" ht="15.75" thickBot="1" x14ac:dyDescent="0.3">
      <c r="A17" s="495"/>
      <c r="B17" s="481"/>
      <c r="C17" s="482"/>
      <c r="D17" s="483"/>
      <c r="E17" s="141"/>
      <c r="F17" s="481"/>
      <c r="G17" s="482"/>
      <c r="H17" s="482"/>
      <c r="I17" s="482"/>
      <c r="J17" s="482"/>
      <c r="K17" s="482"/>
      <c r="L17" s="483"/>
      <c r="M17" s="498"/>
      <c r="N17" s="139"/>
      <c r="O17" s="139"/>
      <c r="P17" s="139"/>
    </row>
    <row r="18" spans="1:16" s="5" customFormat="1" ht="3" customHeight="1" thickBot="1" x14ac:dyDescent="0.3">
      <c r="A18" s="495"/>
      <c r="B18" s="141"/>
      <c r="C18" s="141"/>
      <c r="D18" s="141"/>
      <c r="E18" s="141"/>
      <c r="F18" s="141"/>
      <c r="G18" s="141"/>
      <c r="H18" s="141"/>
      <c r="I18" s="141"/>
      <c r="J18" s="141"/>
      <c r="K18" s="141"/>
      <c r="L18" s="141"/>
      <c r="M18" s="498"/>
      <c r="N18" s="139"/>
      <c r="O18" s="139"/>
      <c r="P18" s="139"/>
    </row>
    <row r="19" spans="1:16" s="5" customFormat="1" ht="15.75" thickBot="1" x14ac:dyDescent="0.3">
      <c r="A19" s="495"/>
      <c r="B19" s="476"/>
      <c r="C19" s="477"/>
      <c r="D19" s="478"/>
      <c r="E19" s="141"/>
      <c r="F19" s="481"/>
      <c r="G19" s="482"/>
      <c r="H19" s="482"/>
      <c r="I19" s="482"/>
      <c r="J19" s="482"/>
      <c r="K19" s="482"/>
      <c r="L19" s="483"/>
      <c r="M19" s="498"/>
      <c r="N19" s="139"/>
      <c r="O19" s="139"/>
      <c r="P19" s="139"/>
    </row>
    <row r="20" spans="1:16" s="5" customFormat="1" ht="3" customHeight="1" thickBot="1" x14ac:dyDescent="0.3">
      <c r="A20" s="495"/>
      <c r="B20" s="141"/>
      <c r="C20" s="141"/>
      <c r="D20" s="141"/>
      <c r="E20" s="141"/>
      <c r="F20" s="141"/>
      <c r="G20" s="141"/>
      <c r="H20" s="141"/>
      <c r="I20" s="141"/>
      <c r="J20" s="141"/>
      <c r="K20" s="141"/>
      <c r="L20" s="141"/>
      <c r="M20" s="498"/>
      <c r="N20" s="139"/>
      <c r="O20" s="139"/>
      <c r="P20" s="139"/>
    </row>
    <row r="21" spans="1:16" s="5" customFormat="1" ht="15.75" thickBot="1" x14ac:dyDescent="0.3">
      <c r="A21" s="495"/>
      <c r="B21" s="476"/>
      <c r="C21" s="477"/>
      <c r="D21" s="478"/>
      <c r="E21" s="141"/>
      <c r="F21" s="481"/>
      <c r="G21" s="482"/>
      <c r="H21" s="482"/>
      <c r="I21" s="482"/>
      <c r="J21" s="482"/>
      <c r="K21" s="482"/>
      <c r="L21" s="483"/>
      <c r="M21" s="498"/>
      <c r="N21" s="139"/>
      <c r="O21" s="139"/>
      <c r="P21" s="139"/>
    </row>
    <row r="22" spans="1:16" s="5" customFormat="1" ht="3" customHeight="1" thickBot="1" x14ac:dyDescent="0.3">
      <c r="A22" s="495"/>
      <c r="B22" s="141"/>
      <c r="C22" s="141"/>
      <c r="D22" s="141"/>
      <c r="E22" s="141"/>
      <c r="F22" s="141"/>
      <c r="G22" s="141"/>
      <c r="H22" s="141"/>
      <c r="I22" s="141"/>
      <c r="J22" s="141"/>
      <c r="K22" s="141"/>
      <c r="L22" s="141"/>
      <c r="M22" s="498"/>
      <c r="N22" s="139"/>
      <c r="O22" s="139"/>
      <c r="P22" s="139"/>
    </row>
    <row r="23" spans="1:16" s="5" customFormat="1" ht="15.75" thickBot="1" x14ac:dyDescent="0.3">
      <c r="A23" s="495"/>
      <c r="B23" s="476"/>
      <c r="C23" s="477"/>
      <c r="D23" s="478"/>
      <c r="E23" s="141"/>
      <c r="F23" s="481"/>
      <c r="G23" s="482"/>
      <c r="H23" s="482"/>
      <c r="I23" s="482"/>
      <c r="J23" s="482"/>
      <c r="K23" s="482"/>
      <c r="L23" s="483"/>
      <c r="M23" s="498"/>
      <c r="N23" s="139"/>
      <c r="O23" s="139"/>
      <c r="P23" s="139"/>
    </row>
    <row r="24" spans="1:16" ht="3" customHeight="1" thickBot="1" x14ac:dyDescent="0.3">
      <c r="A24" s="495"/>
      <c r="B24" s="142"/>
      <c r="C24" s="143"/>
      <c r="D24" s="142"/>
      <c r="E24" s="142"/>
      <c r="F24" s="142"/>
      <c r="G24" s="143"/>
      <c r="H24" s="143"/>
      <c r="I24" s="134"/>
      <c r="J24" s="143"/>
      <c r="K24" s="134"/>
      <c r="L24" s="143"/>
      <c r="M24" s="498"/>
      <c r="N24" s="130"/>
      <c r="O24" s="130"/>
      <c r="P24" s="130"/>
    </row>
    <row r="25" spans="1:16" ht="15.75" thickBot="1" x14ac:dyDescent="0.3">
      <c r="A25" s="495"/>
      <c r="B25" s="131" t="s">
        <v>191</v>
      </c>
      <c r="C25" s="132"/>
      <c r="D25" s="455"/>
      <c r="E25" s="372"/>
      <c r="F25" s="372"/>
      <c r="G25" s="372"/>
      <c r="H25" s="373"/>
      <c r="I25" s="144"/>
      <c r="J25" s="131" t="s">
        <v>187</v>
      </c>
      <c r="K25" s="144"/>
      <c r="L25" s="102"/>
      <c r="M25" s="498"/>
      <c r="N25" s="130"/>
      <c r="O25" s="130"/>
      <c r="P25" s="130"/>
    </row>
    <row r="26" spans="1:16" ht="3" customHeight="1" thickBot="1" x14ac:dyDescent="0.3">
      <c r="A26" s="495"/>
      <c r="B26" s="139"/>
      <c r="C26" s="134"/>
      <c r="D26" s="139"/>
      <c r="E26" s="138"/>
      <c r="F26" s="139"/>
      <c r="G26" s="134"/>
      <c r="H26" s="134"/>
      <c r="I26" s="134"/>
      <c r="J26" s="145" t="s">
        <v>192</v>
      </c>
      <c r="K26" s="144"/>
      <c r="L26" s="146"/>
      <c r="M26" s="498"/>
      <c r="N26" s="130"/>
      <c r="O26" s="130"/>
      <c r="P26" s="130"/>
    </row>
    <row r="27" spans="1:16" ht="15.75" thickBot="1" x14ac:dyDescent="0.3">
      <c r="A27" s="495"/>
      <c r="B27" s="112" t="s">
        <v>184</v>
      </c>
      <c r="C27" s="140"/>
      <c r="D27" s="57"/>
      <c r="E27" s="138"/>
      <c r="F27" s="479" t="s">
        <v>205</v>
      </c>
      <c r="G27" s="480"/>
      <c r="H27" s="480"/>
      <c r="I27" s="138"/>
      <c r="J27" s="371"/>
      <c r="K27" s="372"/>
      <c r="L27" s="373"/>
      <c r="M27" s="498"/>
      <c r="N27" s="130"/>
      <c r="O27" s="130"/>
      <c r="P27" s="130"/>
    </row>
    <row r="28" spans="1:16" s="5" customFormat="1" ht="3" customHeight="1" x14ac:dyDescent="0.25">
      <c r="A28" s="495"/>
      <c r="B28" s="141"/>
      <c r="C28" s="141"/>
      <c r="D28" s="141">
        <v>50</v>
      </c>
      <c r="E28" s="141"/>
      <c r="F28" s="141"/>
      <c r="G28" s="141"/>
      <c r="H28" s="141"/>
      <c r="I28" s="141"/>
      <c r="J28" s="141"/>
      <c r="K28" s="141"/>
      <c r="L28" s="141"/>
      <c r="M28" s="498"/>
      <c r="N28" s="139"/>
      <c r="O28" s="139"/>
      <c r="P28" s="139"/>
    </row>
    <row r="29" spans="1:16" x14ac:dyDescent="0.25">
      <c r="A29" s="495"/>
      <c r="B29" s="408" t="s">
        <v>189</v>
      </c>
      <c r="C29" s="480"/>
      <c r="D29" s="480"/>
      <c r="E29" s="138"/>
      <c r="F29" s="408" t="s">
        <v>190</v>
      </c>
      <c r="G29" s="480"/>
      <c r="H29" s="480"/>
      <c r="I29" s="480"/>
      <c r="J29" s="480"/>
      <c r="K29" s="480"/>
      <c r="L29" s="480"/>
      <c r="M29" s="498"/>
      <c r="N29" s="130"/>
      <c r="O29" s="130"/>
      <c r="P29" s="130"/>
    </row>
    <row r="30" spans="1:16" s="5" customFormat="1" ht="3" customHeight="1" thickBot="1" x14ac:dyDescent="0.3">
      <c r="A30" s="495"/>
      <c r="B30" s="141"/>
      <c r="C30" s="141"/>
      <c r="D30" s="141"/>
      <c r="E30" s="141"/>
      <c r="F30" s="141"/>
      <c r="G30" s="141"/>
      <c r="H30" s="141"/>
      <c r="I30" s="141"/>
      <c r="J30" s="141"/>
      <c r="K30" s="141"/>
      <c r="L30" s="141"/>
      <c r="M30" s="498"/>
      <c r="N30" s="139"/>
      <c r="O30" s="139"/>
      <c r="P30" s="139"/>
    </row>
    <row r="31" spans="1:16" s="5" customFormat="1" ht="15.75" thickBot="1" x14ac:dyDescent="0.3">
      <c r="A31" s="495"/>
      <c r="B31" s="481"/>
      <c r="C31" s="482"/>
      <c r="D31" s="483"/>
      <c r="E31" s="141"/>
      <c r="F31" s="484"/>
      <c r="G31" s="485"/>
      <c r="H31" s="485"/>
      <c r="I31" s="485"/>
      <c r="J31" s="485"/>
      <c r="K31" s="485"/>
      <c r="L31" s="486"/>
      <c r="M31" s="498"/>
      <c r="N31" s="139"/>
      <c r="O31" s="139"/>
      <c r="P31" s="139"/>
    </row>
    <row r="32" spans="1:16" s="5" customFormat="1" ht="3" customHeight="1" thickBot="1" x14ac:dyDescent="0.3">
      <c r="A32" s="495"/>
      <c r="B32" s="141"/>
      <c r="C32" s="141"/>
      <c r="D32" s="141"/>
      <c r="E32" s="141"/>
      <c r="F32" s="487"/>
      <c r="G32" s="488"/>
      <c r="H32" s="488"/>
      <c r="I32" s="488"/>
      <c r="J32" s="488"/>
      <c r="K32" s="488"/>
      <c r="L32" s="489"/>
      <c r="M32" s="498"/>
      <c r="N32" s="139"/>
      <c r="O32" s="139"/>
      <c r="P32" s="139"/>
    </row>
    <row r="33" spans="1:18" s="5" customFormat="1" ht="15.75" thickBot="1" x14ac:dyDescent="0.3">
      <c r="A33" s="495"/>
      <c r="B33" s="481"/>
      <c r="C33" s="482"/>
      <c r="D33" s="483"/>
      <c r="E33" s="141"/>
      <c r="F33" s="487"/>
      <c r="G33" s="488"/>
      <c r="H33" s="488"/>
      <c r="I33" s="488"/>
      <c r="J33" s="488"/>
      <c r="K33" s="488"/>
      <c r="L33" s="489"/>
      <c r="M33" s="498"/>
      <c r="N33" s="139"/>
      <c r="O33" s="139"/>
      <c r="P33" s="139"/>
    </row>
    <row r="34" spans="1:18" s="5" customFormat="1" ht="3" customHeight="1" thickBot="1" x14ac:dyDescent="0.3">
      <c r="A34" s="495"/>
      <c r="B34" s="141"/>
      <c r="C34" s="141"/>
      <c r="D34" s="141"/>
      <c r="E34" s="141"/>
      <c r="F34" s="487"/>
      <c r="G34" s="488"/>
      <c r="H34" s="488"/>
      <c r="I34" s="488"/>
      <c r="J34" s="488"/>
      <c r="K34" s="488"/>
      <c r="L34" s="489"/>
      <c r="M34" s="498"/>
      <c r="N34" s="139"/>
      <c r="O34" s="139"/>
      <c r="P34" s="139"/>
    </row>
    <row r="35" spans="1:18" s="5" customFormat="1" ht="15.75" thickBot="1" x14ac:dyDescent="0.3">
      <c r="A35" s="495"/>
      <c r="B35" s="481"/>
      <c r="C35" s="482"/>
      <c r="D35" s="483"/>
      <c r="E35" s="141"/>
      <c r="F35" s="487"/>
      <c r="G35" s="488"/>
      <c r="H35" s="488"/>
      <c r="I35" s="488"/>
      <c r="J35" s="488"/>
      <c r="K35" s="488"/>
      <c r="L35" s="489"/>
      <c r="M35" s="498"/>
      <c r="N35" s="139"/>
      <c r="O35" s="139"/>
      <c r="P35" s="139"/>
    </row>
    <row r="36" spans="1:18" s="5" customFormat="1" ht="3" customHeight="1" thickBot="1" x14ac:dyDescent="0.3">
      <c r="A36" s="495"/>
      <c r="B36" s="147"/>
      <c r="C36" s="147"/>
      <c r="D36" s="147"/>
      <c r="E36" s="141"/>
      <c r="F36" s="487"/>
      <c r="G36" s="490"/>
      <c r="H36" s="490"/>
      <c r="I36" s="490"/>
      <c r="J36" s="490"/>
      <c r="K36" s="490"/>
      <c r="L36" s="489"/>
      <c r="M36" s="498"/>
      <c r="N36" s="139"/>
      <c r="O36" s="139"/>
      <c r="P36" s="139"/>
    </row>
    <row r="37" spans="1:18" s="5" customFormat="1" ht="15.75" thickBot="1" x14ac:dyDescent="0.3">
      <c r="A37" s="495"/>
      <c r="B37" s="481"/>
      <c r="C37" s="482"/>
      <c r="D37" s="483"/>
      <c r="E37" s="141"/>
      <c r="F37" s="491"/>
      <c r="G37" s="492"/>
      <c r="H37" s="492"/>
      <c r="I37" s="492"/>
      <c r="J37" s="492"/>
      <c r="K37" s="492"/>
      <c r="L37" s="493"/>
      <c r="M37" s="498"/>
      <c r="N37" s="139"/>
      <c r="O37" s="139"/>
      <c r="P37" s="139"/>
    </row>
    <row r="38" spans="1:18" s="5" customFormat="1" ht="3" customHeight="1" thickBot="1" x14ac:dyDescent="0.3">
      <c r="A38" s="495"/>
      <c r="B38" s="147"/>
      <c r="C38" s="147"/>
      <c r="D38" s="147"/>
      <c r="E38" s="141"/>
      <c r="F38" s="148"/>
      <c r="G38" s="148"/>
      <c r="H38" s="148"/>
      <c r="I38" s="148"/>
      <c r="J38" s="148"/>
      <c r="K38" s="148"/>
      <c r="L38" s="148"/>
      <c r="M38" s="498"/>
      <c r="N38" s="139"/>
      <c r="O38" s="139"/>
      <c r="P38" s="139"/>
    </row>
    <row r="39" spans="1:18" s="5" customFormat="1" ht="15.75" thickBot="1" x14ac:dyDescent="0.3">
      <c r="A39" s="495"/>
      <c r="B39" s="481"/>
      <c r="C39" s="482"/>
      <c r="D39" s="483"/>
      <c r="E39" s="141"/>
      <c r="F39" s="494" t="s">
        <v>256</v>
      </c>
      <c r="G39" s="495"/>
      <c r="H39" s="495"/>
      <c r="I39" s="495"/>
      <c r="J39" s="495"/>
      <c r="K39" s="148"/>
      <c r="L39" s="104"/>
      <c r="M39" s="498"/>
      <c r="N39" s="139"/>
      <c r="O39" s="139"/>
      <c r="P39" s="139"/>
    </row>
    <row r="40" spans="1:18" ht="3" customHeight="1" thickBot="1" x14ac:dyDescent="0.3">
      <c r="A40" s="503"/>
      <c r="B40" s="504"/>
      <c r="C40" s="504"/>
      <c r="D40" s="504"/>
      <c r="E40" s="504"/>
      <c r="F40" s="504"/>
      <c r="G40" s="504"/>
      <c r="H40" s="504"/>
      <c r="I40" s="504"/>
      <c r="J40" s="504"/>
      <c r="K40" s="504"/>
      <c r="L40" s="504"/>
      <c r="M40" s="499"/>
      <c r="N40" s="130"/>
      <c r="O40" s="130"/>
      <c r="P40" s="130"/>
    </row>
    <row r="41" spans="1:18" ht="3" hidden="1" customHeight="1" x14ac:dyDescent="0.25">
      <c r="A41" s="139"/>
      <c r="B41" s="139"/>
      <c r="C41" s="134"/>
      <c r="D41" s="139"/>
      <c r="E41" s="139"/>
      <c r="F41" s="139"/>
      <c r="G41" s="134"/>
      <c r="H41" s="134"/>
      <c r="I41" s="134"/>
      <c r="J41" s="134"/>
      <c r="K41" s="134"/>
      <c r="L41" s="134"/>
      <c r="M41" s="134"/>
      <c r="N41" s="130"/>
      <c r="O41" s="130"/>
      <c r="P41" s="130"/>
    </row>
    <row r="42" spans="1:18" ht="3" hidden="1" customHeight="1" x14ac:dyDescent="0.25">
      <c r="A42" s="139"/>
      <c r="B42" s="139"/>
      <c r="C42" s="134"/>
      <c r="D42" s="139"/>
      <c r="E42" s="139"/>
      <c r="F42" s="139"/>
      <c r="G42" s="134"/>
      <c r="H42" s="134"/>
      <c r="I42" s="134"/>
      <c r="J42" s="134"/>
      <c r="K42" s="134"/>
      <c r="L42" s="134"/>
      <c r="M42" s="134"/>
      <c r="N42" s="130"/>
      <c r="O42" s="130"/>
      <c r="P42" s="130"/>
    </row>
    <row r="43" spans="1:18" hidden="1" x14ac:dyDescent="0.25">
      <c r="A43" s="130"/>
      <c r="B43" s="130"/>
      <c r="C43" s="134"/>
      <c r="D43" s="130" t="s">
        <v>260</v>
      </c>
      <c r="E43" s="139"/>
      <c r="F43" s="130" t="s">
        <v>95</v>
      </c>
      <c r="G43" s="134"/>
      <c r="H43" s="134" t="s">
        <v>188</v>
      </c>
      <c r="I43" s="134"/>
      <c r="J43" s="134" t="s">
        <v>261</v>
      </c>
      <c r="K43" s="134"/>
      <c r="L43" s="130" t="s">
        <v>260</v>
      </c>
      <c r="M43" s="139"/>
      <c r="N43" s="130" t="s">
        <v>95</v>
      </c>
      <c r="O43" s="134"/>
      <c r="P43" s="134" t="s">
        <v>188</v>
      </c>
      <c r="Q43" s="11"/>
      <c r="R43" s="11" t="s">
        <v>261</v>
      </c>
    </row>
    <row r="44" spans="1:18" hidden="1" x14ac:dyDescent="0.25">
      <c r="A44" s="130"/>
      <c r="B44" s="149" t="s">
        <v>186</v>
      </c>
      <c r="C44" s="130"/>
      <c r="D44" s="130"/>
      <c r="E44" s="139"/>
      <c r="F44" s="130"/>
      <c r="G44" s="134"/>
      <c r="H44" s="134"/>
      <c r="I44" s="134"/>
      <c r="J44" s="134"/>
      <c r="K44" s="134"/>
      <c r="L44" s="130"/>
      <c r="M44" s="139"/>
      <c r="N44" s="130"/>
      <c r="O44" s="134"/>
      <c r="P44" s="134"/>
      <c r="Q44" s="11"/>
      <c r="R44" s="11"/>
    </row>
    <row r="45" spans="1:18" hidden="1" x14ac:dyDescent="0.25">
      <c r="A45" s="130"/>
      <c r="B45" s="150" t="s">
        <v>216</v>
      </c>
      <c r="C45" s="130"/>
      <c r="D45" s="130">
        <v>-2</v>
      </c>
      <c r="E45" s="139"/>
      <c r="F45" s="130"/>
      <c r="G45" s="134"/>
      <c r="H45" s="134">
        <v>2</v>
      </c>
      <c r="I45" s="134"/>
      <c r="J45" s="134"/>
      <c r="K45" s="134"/>
      <c r="L45" s="130">
        <f>IF($B$17=$B45,D45,0)</f>
        <v>0</v>
      </c>
      <c r="M45" s="139"/>
      <c r="N45" s="130">
        <f>IF($B$17=$B45,F45,0)</f>
        <v>0</v>
      </c>
      <c r="O45" s="134"/>
      <c r="P45" s="130">
        <f>IF($B$17=$B45,H45,0)</f>
        <v>0</v>
      </c>
      <c r="Q45" s="11"/>
      <c r="R45">
        <f>IF($B$17=$B45,J45,0)</f>
        <v>0</v>
      </c>
    </row>
    <row r="46" spans="1:18" hidden="1" x14ac:dyDescent="0.25">
      <c r="A46" s="130"/>
      <c r="B46" s="150" t="s">
        <v>217</v>
      </c>
      <c r="C46" s="130"/>
      <c r="D46" s="130"/>
      <c r="E46" s="139"/>
      <c r="F46" s="130"/>
      <c r="G46" s="134"/>
      <c r="H46" s="134"/>
      <c r="I46" s="134"/>
      <c r="J46" s="134"/>
      <c r="K46" s="134"/>
      <c r="L46" s="130">
        <f t="shared" ref="L46:L56" si="0">IF($B$17=B46,D46,0)</f>
        <v>0</v>
      </c>
      <c r="M46" s="139"/>
      <c r="N46" s="130">
        <f t="shared" ref="N46:R56" si="1">IF($B$17=$B46,F46,0)</f>
        <v>0</v>
      </c>
      <c r="O46" s="134"/>
      <c r="P46" s="130">
        <f t="shared" si="1"/>
        <v>0</v>
      </c>
      <c r="Q46" s="11"/>
      <c r="R46">
        <f t="shared" si="1"/>
        <v>0</v>
      </c>
    </row>
    <row r="47" spans="1:18" hidden="1" x14ac:dyDescent="0.25">
      <c r="A47" s="130"/>
      <c r="B47" s="150" t="s">
        <v>218</v>
      </c>
      <c r="C47" s="130"/>
      <c r="D47" s="130">
        <v>-2</v>
      </c>
      <c r="E47" s="139"/>
      <c r="F47" s="130">
        <v>2</v>
      </c>
      <c r="G47" s="134"/>
      <c r="H47" s="134"/>
      <c r="I47" s="134"/>
      <c r="J47" s="134"/>
      <c r="K47" s="134"/>
      <c r="L47" s="130">
        <f t="shared" si="0"/>
        <v>0</v>
      </c>
      <c r="M47" s="139"/>
      <c r="N47" s="130">
        <f t="shared" si="1"/>
        <v>0</v>
      </c>
      <c r="O47" s="134"/>
      <c r="P47" s="130">
        <f t="shared" si="1"/>
        <v>0</v>
      </c>
      <c r="Q47" s="11"/>
      <c r="R47">
        <f t="shared" si="1"/>
        <v>0</v>
      </c>
    </row>
    <row r="48" spans="1:18" hidden="1" x14ac:dyDescent="0.25">
      <c r="A48" s="130"/>
      <c r="B48" s="150" t="s">
        <v>219</v>
      </c>
      <c r="C48" s="130"/>
      <c r="D48" s="130"/>
      <c r="E48" s="139"/>
      <c r="F48" s="130"/>
      <c r="G48" s="134"/>
      <c r="H48" s="134"/>
      <c r="I48" s="134"/>
      <c r="J48" s="134"/>
      <c r="K48" s="134"/>
      <c r="L48" s="130">
        <f t="shared" si="0"/>
        <v>0</v>
      </c>
      <c r="M48" s="139"/>
      <c r="N48" s="130">
        <f t="shared" si="1"/>
        <v>0</v>
      </c>
      <c r="O48" s="134"/>
      <c r="P48" s="130">
        <f t="shared" si="1"/>
        <v>0</v>
      </c>
      <c r="Q48" s="11"/>
      <c r="R48">
        <f t="shared" si="1"/>
        <v>0</v>
      </c>
    </row>
    <row r="49" spans="1:18" hidden="1" x14ac:dyDescent="0.25">
      <c r="A49" s="130"/>
      <c r="B49" s="150" t="s">
        <v>220</v>
      </c>
      <c r="C49" s="130"/>
      <c r="D49" s="130">
        <v>2</v>
      </c>
      <c r="E49" s="139"/>
      <c r="F49" s="130">
        <v>-2</v>
      </c>
      <c r="G49" s="134"/>
      <c r="H49" s="134"/>
      <c r="I49" s="134"/>
      <c r="J49" s="134"/>
      <c r="K49" s="134"/>
      <c r="L49" s="130">
        <f t="shared" si="0"/>
        <v>0</v>
      </c>
      <c r="M49" s="139"/>
      <c r="N49" s="130">
        <f t="shared" si="1"/>
        <v>0</v>
      </c>
      <c r="O49" s="134"/>
      <c r="P49" s="130">
        <f t="shared" si="1"/>
        <v>0</v>
      </c>
      <c r="Q49" s="11"/>
      <c r="R49">
        <f t="shared" si="1"/>
        <v>0</v>
      </c>
    </row>
    <row r="50" spans="1:18" hidden="1" x14ac:dyDescent="0.25">
      <c r="A50" s="130"/>
      <c r="B50" s="150" t="s">
        <v>221</v>
      </c>
      <c r="C50" s="130"/>
      <c r="D50" s="130"/>
      <c r="E50" s="139"/>
      <c r="F50" s="130"/>
      <c r="G50" s="134"/>
      <c r="H50" s="134"/>
      <c r="I50" s="134"/>
      <c r="J50" s="134"/>
      <c r="K50" s="134"/>
      <c r="L50" s="130">
        <f t="shared" si="0"/>
        <v>0</v>
      </c>
      <c r="M50" s="139"/>
      <c r="N50" s="130">
        <f t="shared" si="1"/>
        <v>0</v>
      </c>
      <c r="O50" s="134"/>
      <c r="P50" s="130">
        <f t="shared" si="1"/>
        <v>0</v>
      </c>
      <c r="Q50" s="11"/>
      <c r="R50">
        <f t="shared" si="1"/>
        <v>0</v>
      </c>
    </row>
    <row r="51" spans="1:18" hidden="1" x14ac:dyDescent="0.25">
      <c r="A51" s="130"/>
      <c r="B51" s="150" t="s">
        <v>222</v>
      </c>
      <c r="C51" s="130"/>
      <c r="D51" s="130">
        <v>-4</v>
      </c>
      <c r="E51" s="139"/>
      <c r="F51" s="130">
        <v>4</v>
      </c>
      <c r="G51" s="134"/>
      <c r="H51" s="134"/>
      <c r="I51" s="134"/>
      <c r="J51" s="134"/>
      <c r="K51" s="134"/>
      <c r="L51" s="130">
        <f t="shared" si="0"/>
        <v>0</v>
      </c>
      <c r="M51" s="139"/>
      <c r="N51" s="130">
        <f t="shared" si="1"/>
        <v>0</v>
      </c>
      <c r="O51" s="134"/>
      <c r="P51" s="130">
        <f t="shared" si="1"/>
        <v>0</v>
      </c>
      <c r="Q51" s="11"/>
      <c r="R51">
        <f t="shared" si="1"/>
        <v>0</v>
      </c>
    </row>
    <row r="52" spans="1:18" hidden="1" x14ac:dyDescent="0.25">
      <c r="A52" s="130"/>
      <c r="B52" s="150" t="s">
        <v>223</v>
      </c>
      <c r="C52" s="130"/>
      <c r="D52" s="130">
        <v>4</v>
      </c>
      <c r="E52" s="139"/>
      <c r="F52" s="130">
        <v>-4</v>
      </c>
      <c r="G52" s="134"/>
      <c r="H52" s="134"/>
      <c r="I52" s="134"/>
      <c r="J52" s="134"/>
      <c r="K52" s="134"/>
      <c r="L52" s="130">
        <f t="shared" si="0"/>
        <v>0</v>
      </c>
      <c r="M52" s="139"/>
      <c r="N52" s="130">
        <f t="shared" si="1"/>
        <v>0</v>
      </c>
      <c r="O52" s="134"/>
      <c r="P52" s="130">
        <f t="shared" si="1"/>
        <v>0</v>
      </c>
      <c r="Q52" s="11"/>
      <c r="R52">
        <f t="shared" si="1"/>
        <v>0</v>
      </c>
    </row>
    <row r="53" spans="1:18" hidden="1" x14ac:dyDescent="0.25">
      <c r="A53" s="130"/>
      <c r="B53" s="150" t="s">
        <v>262</v>
      </c>
      <c r="C53" s="130"/>
      <c r="D53" s="130"/>
      <c r="E53" s="139"/>
      <c r="F53" s="130"/>
      <c r="G53" s="134"/>
      <c r="H53" s="134"/>
      <c r="I53" s="134"/>
      <c r="J53" s="134"/>
      <c r="K53" s="134"/>
      <c r="L53" s="130">
        <f t="shared" si="0"/>
        <v>0</v>
      </c>
      <c r="M53" s="134"/>
      <c r="N53" s="130">
        <f t="shared" si="1"/>
        <v>0</v>
      </c>
      <c r="O53" s="130"/>
      <c r="P53" s="130">
        <f t="shared" si="1"/>
        <v>0</v>
      </c>
      <c r="R53">
        <f t="shared" si="1"/>
        <v>0</v>
      </c>
    </row>
    <row r="54" spans="1:18" hidden="1" x14ac:dyDescent="0.25">
      <c r="A54" s="130"/>
      <c r="B54" s="150" t="s">
        <v>225</v>
      </c>
      <c r="C54" s="130"/>
      <c r="D54" s="130"/>
      <c r="E54" s="139"/>
      <c r="F54" s="130"/>
      <c r="G54" s="134"/>
      <c r="H54" s="134"/>
      <c r="I54" s="134"/>
      <c r="J54" s="134"/>
      <c r="K54" s="134"/>
      <c r="L54" s="130">
        <f t="shared" si="0"/>
        <v>0</v>
      </c>
      <c r="M54" s="134"/>
      <c r="N54" s="130">
        <f t="shared" si="1"/>
        <v>0</v>
      </c>
      <c r="O54" s="130"/>
      <c r="P54" s="130">
        <f t="shared" si="1"/>
        <v>0</v>
      </c>
      <c r="R54">
        <f t="shared" si="1"/>
        <v>0</v>
      </c>
    </row>
    <row r="55" spans="1:18" hidden="1" x14ac:dyDescent="0.25">
      <c r="A55" s="130"/>
      <c r="B55" s="150" t="s">
        <v>226</v>
      </c>
      <c r="C55" s="130"/>
      <c r="D55" s="130"/>
      <c r="E55" s="139"/>
      <c r="F55" s="130"/>
      <c r="G55" s="134"/>
      <c r="H55" s="134"/>
      <c r="I55" s="134"/>
      <c r="J55" s="134"/>
      <c r="K55" s="134"/>
      <c r="L55" s="130">
        <f t="shared" si="0"/>
        <v>0</v>
      </c>
      <c r="M55" s="134"/>
      <c r="N55" s="130">
        <f t="shared" si="1"/>
        <v>0</v>
      </c>
      <c r="O55" s="130"/>
      <c r="P55" s="130">
        <f t="shared" si="1"/>
        <v>0</v>
      </c>
      <c r="R55">
        <f t="shared" si="1"/>
        <v>0</v>
      </c>
    </row>
    <row r="56" spans="1:18" ht="15.75" hidden="1" thickBot="1" x14ac:dyDescent="0.3">
      <c r="A56" s="130"/>
      <c r="B56" s="151" t="s">
        <v>227</v>
      </c>
      <c r="C56" s="130"/>
      <c r="D56" s="130"/>
      <c r="E56" s="139"/>
      <c r="F56" s="130"/>
      <c r="G56" s="134"/>
      <c r="H56" s="134"/>
      <c r="I56" s="134"/>
      <c r="J56" s="134"/>
      <c r="K56" s="134"/>
      <c r="L56" s="130">
        <f t="shared" si="0"/>
        <v>0</v>
      </c>
      <c r="M56" s="134"/>
      <c r="N56" s="130">
        <f t="shared" si="1"/>
        <v>0</v>
      </c>
      <c r="O56" s="130"/>
      <c r="P56" s="130">
        <f t="shared" si="1"/>
        <v>0</v>
      </c>
      <c r="R56">
        <f t="shared" si="1"/>
        <v>0</v>
      </c>
    </row>
    <row r="57" spans="1:18" hidden="1" x14ac:dyDescent="0.25">
      <c r="A57" s="130"/>
      <c r="B57" s="130"/>
      <c r="C57" s="130"/>
      <c r="D57" s="130"/>
      <c r="E57" s="139"/>
      <c r="F57" s="130"/>
      <c r="G57" s="134"/>
      <c r="H57" s="134"/>
      <c r="I57" s="134"/>
      <c r="J57" s="134"/>
      <c r="K57" s="134"/>
      <c r="L57" s="134">
        <f>SUM(L45:L56)</f>
        <v>0</v>
      </c>
      <c r="M57" s="134"/>
      <c r="N57" s="134">
        <f>SUM(N45:N56)</f>
        <v>0</v>
      </c>
      <c r="O57" s="130"/>
      <c r="P57" s="134">
        <f>SUM(P45:P56)</f>
        <v>0</v>
      </c>
      <c r="R57" s="11">
        <f>SUM(R45:R56)</f>
        <v>0</v>
      </c>
    </row>
    <row r="58" spans="1:18" hidden="1" x14ac:dyDescent="0.25">
      <c r="A58" s="130"/>
      <c r="B58" s="149" t="s">
        <v>56</v>
      </c>
      <c r="C58" s="130"/>
      <c r="D58" s="130"/>
      <c r="E58" s="139"/>
      <c r="F58" s="130"/>
      <c r="G58" s="134"/>
      <c r="H58" s="134"/>
      <c r="I58" s="134"/>
      <c r="J58" s="134"/>
      <c r="K58" s="134"/>
      <c r="L58" s="134"/>
      <c r="M58" s="134"/>
      <c r="N58" s="130"/>
      <c r="O58" s="130"/>
      <c r="P58" s="130"/>
    </row>
    <row r="59" spans="1:18" hidden="1" x14ac:dyDescent="0.25">
      <c r="A59" s="130"/>
      <c r="B59" s="150" t="s">
        <v>263</v>
      </c>
      <c r="C59" s="130"/>
      <c r="D59" s="130">
        <v>2</v>
      </c>
      <c r="E59" s="139"/>
      <c r="F59" s="130">
        <v>2</v>
      </c>
      <c r="G59" s="134"/>
      <c r="H59" s="134"/>
      <c r="I59" s="134"/>
      <c r="J59" s="134">
        <v>1</v>
      </c>
      <c r="K59" s="134"/>
      <c r="L59" s="130">
        <f>IF(OR($F$17=$B59,$F$19=$B59,$F$21=$B59,$F$23=$B59)=TRUE,D59,0)</f>
        <v>0</v>
      </c>
      <c r="M59" s="134"/>
      <c r="N59" s="130">
        <f>IF(OR($F$17=$B59,$F$19=$B59,$F$21=$B59,$F$23=$B59)=TRUE,F59,0)</f>
        <v>0</v>
      </c>
      <c r="O59" s="130"/>
      <c r="P59" s="130">
        <f>IF(OR($F$17=$B59,$F$19=$B59,$F$21=$B59,$F$23=$B59)=TRUE,H59,0)</f>
        <v>0</v>
      </c>
      <c r="R59">
        <f>IF(OR($F$17=$B59,$F$19=$B59,$F$21=$B59,$F$23=$B59)=TRUE,J59,0)</f>
        <v>0</v>
      </c>
    </row>
    <row r="60" spans="1:18" hidden="1" x14ac:dyDescent="0.25">
      <c r="A60" s="130"/>
      <c r="B60" s="150" t="s">
        <v>264</v>
      </c>
      <c r="C60" s="130"/>
      <c r="D60" s="130">
        <v>2</v>
      </c>
      <c r="E60" s="139"/>
      <c r="F60" s="130">
        <v>2</v>
      </c>
      <c r="G60" s="134"/>
      <c r="H60" s="134"/>
      <c r="I60" s="134"/>
      <c r="J60" s="134">
        <v>2</v>
      </c>
      <c r="K60" s="134"/>
      <c r="L60" s="130">
        <f t="shared" ref="L60:R71" si="2">IF(OR($F$17=$B60,$F$19=$B60,$F$21=$B60,$F$23=$B60)=TRUE,D60,0)</f>
        <v>0</v>
      </c>
      <c r="M60" s="134"/>
      <c r="N60" s="130">
        <f t="shared" si="2"/>
        <v>0</v>
      </c>
      <c r="O60" s="130"/>
      <c r="P60" s="130">
        <f t="shared" si="2"/>
        <v>0</v>
      </c>
      <c r="R60">
        <f t="shared" si="2"/>
        <v>0</v>
      </c>
    </row>
    <row r="61" spans="1:18" hidden="1" x14ac:dyDescent="0.25">
      <c r="A61" s="130"/>
      <c r="B61" s="150" t="s">
        <v>265</v>
      </c>
      <c r="C61" s="130"/>
      <c r="D61" s="130">
        <v>2</v>
      </c>
      <c r="E61" s="139"/>
      <c r="F61" s="130">
        <v>2</v>
      </c>
      <c r="G61" s="134"/>
      <c r="H61" s="134"/>
      <c r="I61" s="134"/>
      <c r="J61" s="134">
        <v>3</v>
      </c>
      <c r="K61" s="134"/>
      <c r="L61" s="130">
        <f t="shared" si="2"/>
        <v>0</v>
      </c>
      <c r="M61" s="134"/>
      <c r="N61" s="130">
        <f t="shared" si="2"/>
        <v>0</v>
      </c>
      <c r="O61" s="130"/>
      <c r="P61" s="130">
        <f t="shared" si="2"/>
        <v>0</v>
      </c>
      <c r="R61">
        <f t="shared" si="2"/>
        <v>0</v>
      </c>
    </row>
    <row r="62" spans="1:18" hidden="1" x14ac:dyDescent="0.25">
      <c r="A62" s="130"/>
      <c r="B62" s="150" t="s">
        <v>266</v>
      </c>
      <c r="C62" s="130"/>
      <c r="D62" s="130">
        <v>2</v>
      </c>
      <c r="E62" s="139"/>
      <c r="F62" s="130">
        <v>2</v>
      </c>
      <c r="G62" s="134"/>
      <c r="H62" s="134"/>
      <c r="I62" s="134"/>
      <c r="J62" s="134">
        <v>4</v>
      </c>
      <c r="K62" s="134"/>
      <c r="L62" s="130">
        <f t="shared" si="2"/>
        <v>0</v>
      </c>
      <c r="M62" s="134"/>
      <c r="N62" s="130">
        <f t="shared" si="2"/>
        <v>0</v>
      </c>
      <c r="O62" s="130"/>
      <c r="P62" s="130">
        <f t="shared" si="2"/>
        <v>0</v>
      </c>
      <c r="R62">
        <f t="shared" si="2"/>
        <v>0</v>
      </c>
    </row>
    <row r="63" spans="1:18" hidden="1" x14ac:dyDescent="0.25">
      <c r="A63" s="130"/>
      <c r="B63" s="150" t="s">
        <v>267</v>
      </c>
      <c r="C63" s="130"/>
      <c r="D63" s="130">
        <v>2</v>
      </c>
      <c r="E63" s="139"/>
      <c r="F63" s="130">
        <v>2</v>
      </c>
      <c r="G63" s="134"/>
      <c r="H63" s="134"/>
      <c r="I63" s="134"/>
      <c r="J63" s="134">
        <v>5</v>
      </c>
      <c r="K63" s="134"/>
      <c r="L63" s="130">
        <f t="shared" si="2"/>
        <v>0</v>
      </c>
      <c r="M63" s="134"/>
      <c r="N63" s="130">
        <f t="shared" si="2"/>
        <v>0</v>
      </c>
      <c r="O63" s="130"/>
      <c r="P63" s="130">
        <f t="shared" si="2"/>
        <v>0</v>
      </c>
      <c r="R63">
        <f t="shared" si="2"/>
        <v>0</v>
      </c>
    </row>
    <row r="64" spans="1:18" hidden="1" x14ac:dyDescent="0.25">
      <c r="A64" s="130"/>
      <c r="B64" s="150" t="s">
        <v>228</v>
      </c>
      <c r="C64" s="130"/>
      <c r="D64" s="130">
        <v>1</v>
      </c>
      <c r="E64" s="139"/>
      <c r="F64" s="130"/>
      <c r="G64" s="134"/>
      <c r="H64" s="134"/>
      <c r="I64" s="134"/>
      <c r="J64" s="134">
        <v>5</v>
      </c>
      <c r="K64" s="134"/>
      <c r="L64" s="130">
        <f t="shared" si="2"/>
        <v>0</v>
      </c>
      <c r="M64" s="134"/>
      <c r="N64" s="130">
        <f t="shared" si="2"/>
        <v>0</v>
      </c>
      <c r="O64" s="130"/>
      <c r="P64" s="130">
        <f t="shared" si="2"/>
        <v>0</v>
      </c>
      <c r="R64">
        <f t="shared" si="2"/>
        <v>0</v>
      </c>
    </row>
    <row r="65" spans="1:18" hidden="1" x14ac:dyDescent="0.25">
      <c r="A65" s="130"/>
      <c r="B65" s="150" t="s">
        <v>229</v>
      </c>
      <c r="C65" s="130"/>
      <c r="D65" s="130">
        <v>2</v>
      </c>
      <c r="E65" s="139"/>
      <c r="F65" s="130"/>
      <c r="G65" s="134"/>
      <c r="H65" s="134"/>
      <c r="I65" s="134"/>
      <c r="J65" s="134">
        <v>50</v>
      </c>
      <c r="K65" s="134"/>
      <c r="L65" s="130">
        <f t="shared" si="2"/>
        <v>0</v>
      </c>
      <c r="M65" s="134"/>
      <c r="N65" s="130">
        <f t="shared" si="2"/>
        <v>0</v>
      </c>
      <c r="O65" s="130"/>
      <c r="P65" s="130">
        <f t="shared" si="2"/>
        <v>0</v>
      </c>
      <c r="R65">
        <f t="shared" si="2"/>
        <v>0</v>
      </c>
    </row>
    <row r="66" spans="1:18" hidden="1" x14ac:dyDescent="0.25">
      <c r="A66" s="130"/>
      <c r="B66" s="150" t="s">
        <v>230</v>
      </c>
      <c r="C66" s="130"/>
      <c r="D66" s="130"/>
      <c r="E66" s="139"/>
      <c r="F66" s="130">
        <v>1</v>
      </c>
      <c r="G66" s="134"/>
      <c r="H66" s="134"/>
      <c r="I66" s="134"/>
      <c r="J66" s="134">
        <v>3</v>
      </c>
      <c r="K66" s="134"/>
      <c r="L66" s="130">
        <f t="shared" si="2"/>
        <v>0</v>
      </c>
      <c r="M66" s="134"/>
      <c r="N66" s="130">
        <f t="shared" si="2"/>
        <v>0</v>
      </c>
      <c r="O66" s="130"/>
      <c r="P66" s="130">
        <f t="shared" si="2"/>
        <v>0</v>
      </c>
      <c r="R66">
        <f t="shared" si="2"/>
        <v>0</v>
      </c>
    </row>
    <row r="67" spans="1:18" hidden="1" x14ac:dyDescent="0.25">
      <c r="A67" s="130"/>
      <c r="B67" s="150" t="s">
        <v>231</v>
      </c>
      <c r="C67" s="130"/>
      <c r="D67" s="130"/>
      <c r="E67" s="139"/>
      <c r="F67" s="130">
        <v>2</v>
      </c>
      <c r="G67" s="134"/>
      <c r="H67" s="134"/>
      <c r="I67" s="134"/>
      <c r="J67" s="134">
        <v>15</v>
      </c>
      <c r="K67" s="134"/>
      <c r="L67" s="130">
        <f t="shared" si="2"/>
        <v>0</v>
      </c>
      <c r="M67" s="134"/>
      <c r="N67" s="130">
        <f t="shared" si="2"/>
        <v>0</v>
      </c>
      <c r="O67" s="130"/>
      <c r="P67" s="130">
        <f t="shared" si="2"/>
        <v>0</v>
      </c>
      <c r="R67">
        <f t="shared" si="2"/>
        <v>0</v>
      </c>
    </row>
    <row r="68" spans="1:18" hidden="1" x14ac:dyDescent="0.25">
      <c r="A68" s="130"/>
      <c r="B68" s="150" t="s">
        <v>232</v>
      </c>
      <c r="C68" s="130"/>
      <c r="D68" s="130"/>
      <c r="E68" s="139"/>
      <c r="F68" s="130"/>
      <c r="G68" s="134"/>
      <c r="H68" s="134"/>
      <c r="I68" s="134"/>
      <c r="J68" s="134">
        <v>10</v>
      </c>
      <c r="K68" s="134"/>
      <c r="L68" s="130">
        <f t="shared" si="2"/>
        <v>0</v>
      </c>
      <c r="M68" s="134"/>
      <c r="N68" s="130">
        <f t="shared" si="2"/>
        <v>0</v>
      </c>
      <c r="O68" s="130"/>
      <c r="P68" s="130">
        <f t="shared" si="2"/>
        <v>0</v>
      </c>
      <c r="R68">
        <f t="shared" si="2"/>
        <v>0</v>
      </c>
    </row>
    <row r="69" spans="1:18" hidden="1" x14ac:dyDescent="0.25">
      <c r="A69" s="130"/>
      <c r="B69" s="150" t="s">
        <v>233</v>
      </c>
      <c r="C69" s="130"/>
      <c r="D69" s="130"/>
      <c r="E69" s="139"/>
      <c r="F69" s="130"/>
      <c r="G69" s="134"/>
      <c r="H69" s="134"/>
      <c r="I69" s="134"/>
      <c r="J69" s="134">
        <v>2</v>
      </c>
      <c r="K69" s="134"/>
      <c r="L69" s="130">
        <f t="shared" si="2"/>
        <v>0</v>
      </c>
      <c r="M69" s="134"/>
      <c r="N69" s="130">
        <f t="shared" si="2"/>
        <v>0</v>
      </c>
      <c r="O69" s="130"/>
      <c r="P69" s="130">
        <f t="shared" si="2"/>
        <v>0</v>
      </c>
      <c r="R69">
        <f t="shared" si="2"/>
        <v>0</v>
      </c>
    </row>
    <row r="70" spans="1:18" hidden="1" x14ac:dyDescent="0.25">
      <c r="A70" s="130"/>
      <c r="B70" s="150" t="s">
        <v>234</v>
      </c>
      <c r="C70" s="130"/>
      <c r="D70" s="130"/>
      <c r="E70" s="139"/>
      <c r="F70" s="130"/>
      <c r="G70" s="134"/>
      <c r="H70" s="134"/>
      <c r="I70" s="134"/>
      <c r="J70" s="134">
        <v>15</v>
      </c>
      <c r="K70" s="134"/>
      <c r="L70" s="130">
        <f t="shared" si="2"/>
        <v>0</v>
      </c>
      <c r="M70" s="134"/>
      <c r="N70" s="130">
        <f t="shared" si="2"/>
        <v>0</v>
      </c>
      <c r="O70" s="130"/>
      <c r="P70" s="130">
        <f t="shared" si="2"/>
        <v>0</v>
      </c>
      <c r="R70">
        <f t="shared" si="2"/>
        <v>0</v>
      </c>
    </row>
    <row r="71" spans="1:18" ht="15.75" hidden="1" thickBot="1" x14ac:dyDescent="0.3">
      <c r="A71" s="130"/>
      <c r="B71" s="151" t="s">
        <v>253</v>
      </c>
      <c r="C71" s="130"/>
      <c r="D71" s="130"/>
      <c r="E71" s="139"/>
      <c r="F71" s="130"/>
      <c r="G71" s="134"/>
      <c r="H71" s="134"/>
      <c r="I71" s="134"/>
      <c r="J71" s="134">
        <v>10</v>
      </c>
      <c r="K71" s="134"/>
      <c r="L71" s="130">
        <f t="shared" si="2"/>
        <v>0</v>
      </c>
      <c r="M71" s="134"/>
      <c r="N71" s="130">
        <f t="shared" si="2"/>
        <v>0</v>
      </c>
      <c r="O71" s="130"/>
      <c r="P71" s="130">
        <f t="shared" si="2"/>
        <v>0</v>
      </c>
      <c r="R71">
        <f t="shared" si="2"/>
        <v>0</v>
      </c>
    </row>
    <row r="72" spans="1:18" hidden="1" x14ac:dyDescent="0.25">
      <c r="A72" s="130"/>
      <c r="B72" s="130"/>
      <c r="C72" s="130"/>
      <c r="D72" s="130"/>
      <c r="E72" s="139"/>
      <c r="F72" s="130"/>
      <c r="G72" s="134"/>
      <c r="H72" s="134"/>
      <c r="I72" s="134"/>
      <c r="J72" s="134"/>
      <c r="K72" s="134"/>
      <c r="L72" s="134">
        <f>SUM(L59:L71)</f>
        <v>0</v>
      </c>
      <c r="M72" s="134"/>
      <c r="N72" s="134">
        <f>SUM(N59:N71)</f>
        <v>0</v>
      </c>
      <c r="O72" s="130"/>
      <c r="P72" s="134">
        <f>SUM(P59:P71)</f>
        <v>0</v>
      </c>
      <c r="R72" s="11">
        <f>SUM(R59:R71)</f>
        <v>0</v>
      </c>
    </row>
    <row r="73" spans="1:18" hidden="1" x14ac:dyDescent="0.25">
      <c r="A73" s="130"/>
      <c r="B73" s="149" t="s">
        <v>235</v>
      </c>
      <c r="C73" s="130"/>
      <c r="D73" s="130"/>
      <c r="E73" s="139"/>
      <c r="F73" s="130"/>
      <c r="G73" s="134"/>
      <c r="H73" s="134"/>
      <c r="I73" s="134"/>
      <c r="J73" s="134"/>
      <c r="K73" s="134"/>
      <c r="L73" s="130"/>
      <c r="M73" s="134"/>
      <c r="N73" s="130"/>
      <c r="O73" s="130"/>
      <c r="P73" s="130"/>
    </row>
    <row r="74" spans="1:18" hidden="1" x14ac:dyDescent="0.25">
      <c r="A74" s="130"/>
      <c r="B74" s="150" t="s">
        <v>236</v>
      </c>
      <c r="C74" s="130"/>
      <c r="D74" s="130"/>
      <c r="E74" s="139"/>
      <c r="F74" s="130"/>
      <c r="G74" s="134"/>
      <c r="H74" s="134"/>
      <c r="I74" s="134"/>
      <c r="J74" s="134"/>
      <c r="K74" s="134"/>
      <c r="L74" s="130">
        <f>IF(OR($B$31=$B74,$B$33=$B74,$B$35=$B74,$B$35=$B74,$B$37=$B74,$B$39=$B74)=TRUE,D74,0)</f>
        <v>0</v>
      </c>
      <c r="M74" s="134"/>
      <c r="N74" s="130">
        <f t="shared" ref="N74:N90" si="3">IF(OR($B$31=$B74,$B$33=$B74,$B$35=$B74,$B$35=$B74,$B$37=$B74,$B$39=$B74)=TRUE,F74,0)</f>
        <v>0</v>
      </c>
      <c r="O74" s="130"/>
      <c r="P74" s="130">
        <f t="shared" ref="P74:P90" si="4">IF(OR($B$31=$B74,$B$33=$B74,$B$35=$B74,$B$35=$B74,$B$37=$B74,$B$39=$B74)=TRUE,H74,0)</f>
        <v>0</v>
      </c>
      <c r="R74">
        <f t="shared" ref="R74:R90" si="5">IF(OR($B$31=$B74,$B$33=$B74,$B$35=$B74,$B$35=$B74,$B$37=$B74,$B$39=$B74)=TRUE,J74,0)</f>
        <v>0</v>
      </c>
    </row>
    <row r="75" spans="1:18" hidden="1" x14ac:dyDescent="0.25">
      <c r="A75" s="130"/>
      <c r="B75" s="150" t="s">
        <v>240</v>
      </c>
      <c r="C75" s="130"/>
      <c r="D75" s="130"/>
      <c r="E75" s="139"/>
      <c r="F75" s="130"/>
      <c r="G75" s="134"/>
      <c r="H75" s="134"/>
      <c r="I75" s="134"/>
      <c r="J75" s="134"/>
      <c r="K75" s="134"/>
      <c r="L75" s="130">
        <f t="shared" ref="L75:L90" si="6">IF(OR($B$31=$B75,$B$33=$B75,$B$35=$B75,$B$35=$B75,$B$37=$B75,$B$39=$B75)=TRUE,D75,0)</f>
        <v>0</v>
      </c>
      <c r="M75" s="134"/>
      <c r="N75" s="130">
        <f t="shared" si="3"/>
        <v>0</v>
      </c>
      <c r="O75" s="130"/>
      <c r="P75" s="130">
        <f t="shared" si="4"/>
        <v>0</v>
      </c>
      <c r="R75">
        <f t="shared" si="5"/>
        <v>0</v>
      </c>
    </row>
    <row r="76" spans="1:18" hidden="1" x14ac:dyDescent="0.25">
      <c r="A76" s="130"/>
      <c r="B76" s="150" t="s">
        <v>251</v>
      </c>
      <c r="C76" s="130"/>
      <c r="D76" s="130"/>
      <c r="E76" s="139"/>
      <c r="F76" s="130"/>
      <c r="G76" s="134"/>
      <c r="H76" s="134"/>
      <c r="I76" s="134"/>
      <c r="J76" s="134">
        <v>-1</v>
      </c>
      <c r="K76" s="134"/>
      <c r="L76" s="130">
        <f t="shared" si="6"/>
        <v>0</v>
      </c>
      <c r="M76" s="134"/>
      <c r="N76" s="130">
        <f t="shared" si="3"/>
        <v>0</v>
      </c>
      <c r="O76" s="130"/>
      <c r="P76" s="130">
        <f t="shared" si="4"/>
        <v>0</v>
      </c>
      <c r="R76">
        <f t="shared" si="5"/>
        <v>0</v>
      </c>
    </row>
    <row r="77" spans="1:18" hidden="1" x14ac:dyDescent="0.25">
      <c r="A77" s="130"/>
      <c r="B77" s="150" t="s">
        <v>237</v>
      </c>
      <c r="C77" s="134"/>
      <c r="D77" s="130"/>
      <c r="E77" s="139"/>
      <c r="F77" s="130"/>
      <c r="G77" s="134"/>
      <c r="H77" s="134"/>
      <c r="I77" s="134"/>
      <c r="J77" s="134"/>
      <c r="K77" s="134"/>
      <c r="L77" s="130">
        <f t="shared" si="6"/>
        <v>0</v>
      </c>
      <c r="M77" s="134"/>
      <c r="N77" s="130">
        <f t="shared" si="3"/>
        <v>0</v>
      </c>
      <c r="O77" s="130"/>
      <c r="P77" s="130">
        <f t="shared" si="4"/>
        <v>0</v>
      </c>
      <c r="R77">
        <f t="shared" si="5"/>
        <v>0</v>
      </c>
    </row>
    <row r="78" spans="1:18" hidden="1" x14ac:dyDescent="0.25">
      <c r="A78" s="130"/>
      <c r="B78" s="150" t="s">
        <v>239</v>
      </c>
      <c r="C78" s="134"/>
      <c r="D78" s="130"/>
      <c r="E78" s="139"/>
      <c r="F78" s="130"/>
      <c r="G78" s="134"/>
      <c r="H78" s="134"/>
      <c r="I78" s="134"/>
      <c r="J78" s="134"/>
      <c r="K78" s="134"/>
      <c r="L78" s="130">
        <f t="shared" si="6"/>
        <v>0</v>
      </c>
      <c r="M78" s="134"/>
      <c r="N78" s="130">
        <f t="shared" si="3"/>
        <v>0</v>
      </c>
      <c r="O78" s="130"/>
      <c r="P78" s="130">
        <f t="shared" si="4"/>
        <v>0</v>
      </c>
      <c r="R78">
        <f t="shared" si="5"/>
        <v>0</v>
      </c>
    </row>
    <row r="79" spans="1:18" hidden="1" x14ac:dyDescent="0.25">
      <c r="A79" s="130"/>
      <c r="B79" s="150" t="s">
        <v>243</v>
      </c>
      <c r="C79" s="134"/>
      <c r="D79" s="130"/>
      <c r="E79" s="139"/>
      <c r="F79" s="130"/>
      <c r="G79" s="134"/>
      <c r="H79" s="134"/>
      <c r="I79" s="134"/>
      <c r="J79" s="134"/>
      <c r="K79" s="134"/>
      <c r="L79" s="130">
        <f t="shared" si="6"/>
        <v>0</v>
      </c>
      <c r="M79" s="134"/>
      <c r="N79" s="130">
        <f t="shared" si="3"/>
        <v>0</v>
      </c>
      <c r="O79" s="130"/>
      <c r="P79" s="130">
        <f t="shared" si="4"/>
        <v>0</v>
      </c>
      <c r="R79">
        <f t="shared" si="5"/>
        <v>0</v>
      </c>
    </row>
    <row r="80" spans="1:18" hidden="1" x14ac:dyDescent="0.25">
      <c r="A80" s="130"/>
      <c r="B80" s="150" t="s">
        <v>252</v>
      </c>
      <c r="C80" s="134"/>
      <c r="D80" s="130"/>
      <c r="E80" s="139"/>
      <c r="F80" s="130"/>
      <c r="G80" s="134"/>
      <c r="H80" s="134"/>
      <c r="I80" s="134"/>
      <c r="J80" s="134"/>
      <c r="K80" s="134"/>
      <c r="L80" s="130">
        <f t="shared" si="6"/>
        <v>0</v>
      </c>
      <c r="M80" s="134"/>
      <c r="N80" s="130">
        <f t="shared" si="3"/>
        <v>0</v>
      </c>
      <c r="O80" s="130"/>
      <c r="P80" s="130">
        <f t="shared" si="4"/>
        <v>0</v>
      </c>
      <c r="R80">
        <f t="shared" si="5"/>
        <v>0</v>
      </c>
    </row>
    <row r="81" spans="1:18" hidden="1" x14ac:dyDescent="0.25">
      <c r="A81" s="130"/>
      <c r="B81" s="150" t="s">
        <v>244</v>
      </c>
      <c r="C81" s="134"/>
      <c r="D81" s="130"/>
      <c r="E81" s="139"/>
      <c r="F81" s="130">
        <v>1</v>
      </c>
      <c r="G81" s="134"/>
      <c r="H81" s="134"/>
      <c r="I81" s="134"/>
      <c r="J81" s="134"/>
      <c r="K81" s="134"/>
      <c r="L81" s="130">
        <f t="shared" si="6"/>
        <v>0</v>
      </c>
      <c r="M81" s="134"/>
      <c r="N81" s="130">
        <f t="shared" si="3"/>
        <v>0</v>
      </c>
      <c r="O81" s="130"/>
      <c r="P81" s="130">
        <f t="shared" si="4"/>
        <v>0</v>
      </c>
      <c r="R81">
        <f t="shared" si="5"/>
        <v>0</v>
      </c>
    </row>
    <row r="82" spans="1:18" hidden="1" x14ac:dyDescent="0.25">
      <c r="A82" s="130"/>
      <c r="B82" s="150" t="s">
        <v>245</v>
      </c>
      <c r="C82" s="134"/>
      <c r="D82" s="130"/>
      <c r="E82" s="139"/>
      <c r="F82" s="130"/>
      <c r="G82" s="134"/>
      <c r="H82" s="134"/>
      <c r="I82" s="134"/>
      <c r="J82" s="134"/>
      <c r="K82" s="134"/>
      <c r="L82" s="130">
        <f t="shared" si="6"/>
        <v>0</v>
      </c>
      <c r="M82" s="134"/>
      <c r="N82" s="130">
        <f t="shared" si="3"/>
        <v>0</v>
      </c>
      <c r="O82" s="130"/>
      <c r="P82" s="130">
        <f t="shared" si="4"/>
        <v>0</v>
      </c>
      <c r="R82">
        <f t="shared" si="5"/>
        <v>0</v>
      </c>
    </row>
    <row r="83" spans="1:18" hidden="1" x14ac:dyDescent="0.25">
      <c r="A83" s="130"/>
      <c r="B83" s="150" t="s">
        <v>241</v>
      </c>
      <c r="C83" s="134"/>
      <c r="D83" s="130"/>
      <c r="E83" s="139"/>
      <c r="F83" s="130"/>
      <c r="G83" s="134"/>
      <c r="H83" s="134"/>
      <c r="I83" s="134"/>
      <c r="J83" s="134"/>
      <c r="K83" s="134"/>
      <c r="L83" s="130">
        <f t="shared" si="6"/>
        <v>0</v>
      </c>
      <c r="M83" s="134"/>
      <c r="N83" s="130">
        <f t="shared" si="3"/>
        <v>0</v>
      </c>
      <c r="O83" s="130"/>
      <c r="P83" s="130">
        <f t="shared" si="4"/>
        <v>0</v>
      </c>
      <c r="R83">
        <f t="shared" si="5"/>
        <v>0</v>
      </c>
    </row>
    <row r="84" spans="1:18" hidden="1" x14ac:dyDescent="0.25">
      <c r="A84" s="130"/>
      <c r="B84" s="150" t="s">
        <v>246</v>
      </c>
      <c r="C84" s="134"/>
      <c r="D84" s="130"/>
      <c r="E84" s="139"/>
      <c r="F84" s="130"/>
      <c r="G84" s="134"/>
      <c r="H84" s="134"/>
      <c r="I84" s="134"/>
      <c r="J84" s="134"/>
      <c r="K84" s="134"/>
      <c r="L84" s="130">
        <f t="shared" si="6"/>
        <v>0</v>
      </c>
      <c r="M84" s="134"/>
      <c r="N84" s="130">
        <f t="shared" si="3"/>
        <v>0</v>
      </c>
      <c r="O84" s="130"/>
      <c r="P84" s="130">
        <f t="shared" si="4"/>
        <v>0</v>
      </c>
      <c r="R84">
        <f t="shared" si="5"/>
        <v>0</v>
      </c>
    </row>
    <row r="85" spans="1:18" hidden="1" x14ac:dyDescent="0.25">
      <c r="A85" s="130"/>
      <c r="B85" s="150" t="s">
        <v>238</v>
      </c>
      <c r="C85" s="134"/>
      <c r="D85" s="130"/>
      <c r="E85" s="139"/>
      <c r="F85" s="130"/>
      <c r="G85" s="134"/>
      <c r="H85" s="134"/>
      <c r="I85" s="134"/>
      <c r="J85" s="134"/>
      <c r="K85" s="134"/>
      <c r="L85" s="130">
        <f t="shared" si="6"/>
        <v>0</v>
      </c>
      <c r="M85" s="134"/>
      <c r="N85" s="130">
        <f t="shared" si="3"/>
        <v>0</v>
      </c>
      <c r="O85" s="130"/>
      <c r="P85" s="130">
        <f t="shared" si="4"/>
        <v>0</v>
      </c>
      <c r="R85">
        <f t="shared" si="5"/>
        <v>0</v>
      </c>
    </row>
    <row r="86" spans="1:18" hidden="1" x14ac:dyDescent="0.25">
      <c r="A86" s="130"/>
      <c r="B86" s="150" t="s">
        <v>247</v>
      </c>
      <c r="C86" s="134"/>
      <c r="D86" s="130"/>
      <c r="E86" s="139"/>
      <c r="F86" s="130"/>
      <c r="G86" s="134"/>
      <c r="H86" s="134"/>
      <c r="I86" s="134"/>
      <c r="J86" s="134"/>
      <c r="K86" s="134"/>
      <c r="L86" s="130">
        <f t="shared" si="6"/>
        <v>0</v>
      </c>
      <c r="M86" s="134"/>
      <c r="N86" s="130">
        <f t="shared" si="3"/>
        <v>0</v>
      </c>
      <c r="O86" s="130"/>
      <c r="P86" s="130">
        <f t="shared" si="4"/>
        <v>0</v>
      </c>
      <c r="R86">
        <f t="shared" si="5"/>
        <v>0</v>
      </c>
    </row>
    <row r="87" spans="1:18" hidden="1" x14ac:dyDescent="0.25">
      <c r="A87" s="130"/>
      <c r="B87" s="150" t="s">
        <v>248</v>
      </c>
      <c r="C87" s="134"/>
      <c r="D87" s="130"/>
      <c r="E87" s="139"/>
      <c r="F87" s="130">
        <v>10</v>
      </c>
      <c r="G87" s="134"/>
      <c r="H87" s="134"/>
      <c r="I87" s="134"/>
      <c r="J87" s="134"/>
      <c r="K87" s="134"/>
      <c r="L87" s="130">
        <f t="shared" si="6"/>
        <v>0</v>
      </c>
      <c r="M87" s="134"/>
      <c r="N87" s="130">
        <f t="shared" si="3"/>
        <v>0</v>
      </c>
      <c r="O87" s="130"/>
      <c r="P87" s="130">
        <f t="shared" si="4"/>
        <v>0</v>
      </c>
      <c r="R87">
        <f t="shared" si="5"/>
        <v>0</v>
      </c>
    </row>
    <row r="88" spans="1:18" hidden="1" x14ac:dyDescent="0.25">
      <c r="A88" s="130"/>
      <c r="B88" s="150" t="s">
        <v>249</v>
      </c>
      <c r="C88" s="134"/>
      <c r="D88" s="130"/>
      <c r="E88" s="139"/>
      <c r="F88" s="130"/>
      <c r="G88" s="134"/>
      <c r="H88" s="134"/>
      <c r="I88" s="134"/>
      <c r="J88" s="134"/>
      <c r="K88" s="134"/>
      <c r="L88" s="130">
        <f t="shared" si="6"/>
        <v>0</v>
      </c>
      <c r="M88" s="134"/>
      <c r="N88" s="130">
        <f t="shared" si="3"/>
        <v>0</v>
      </c>
      <c r="O88" s="130"/>
      <c r="P88" s="130">
        <f t="shared" si="4"/>
        <v>0</v>
      </c>
      <c r="R88">
        <f t="shared" si="5"/>
        <v>0</v>
      </c>
    </row>
    <row r="89" spans="1:18" hidden="1" x14ac:dyDescent="0.25">
      <c r="A89" s="130"/>
      <c r="B89" s="150" t="s">
        <v>250</v>
      </c>
      <c r="C89" s="134"/>
      <c r="D89" s="130"/>
      <c r="E89" s="139"/>
      <c r="F89" s="130"/>
      <c r="G89" s="134"/>
      <c r="H89" s="134"/>
      <c r="I89" s="134"/>
      <c r="J89" s="134"/>
      <c r="K89" s="134"/>
      <c r="L89" s="130">
        <f t="shared" si="6"/>
        <v>0</v>
      </c>
      <c r="M89" s="134"/>
      <c r="N89" s="130">
        <f t="shared" si="3"/>
        <v>0</v>
      </c>
      <c r="O89" s="130"/>
      <c r="P89" s="130">
        <f t="shared" si="4"/>
        <v>0</v>
      </c>
      <c r="R89">
        <f t="shared" si="5"/>
        <v>0</v>
      </c>
    </row>
    <row r="90" spans="1:18" ht="15.75" hidden="1" thickBot="1" x14ac:dyDescent="0.3">
      <c r="A90" s="130"/>
      <c r="B90" s="151" t="s">
        <v>242</v>
      </c>
      <c r="C90" s="134"/>
      <c r="D90" s="130"/>
      <c r="E90" s="139"/>
      <c r="F90" s="130"/>
      <c r="G90" s="134"/>
      <c r="H90" s="134"/>
      <c r="I90" s="134"/>
      <c r="J90" s="134"/>
      <c r="K90" s="134"/>
      <c r="L90" s="130">
        <f t="shared" si="6"/>
        <v>0</v>
      </c>
      <c r="M90" s="134"/>
      <c r="N90" s="130">
        <f t="shared" si="3"/>
        <v>0</v>
      </c>
      <c r="O90" s="130"/>
      <c r="P90" s="130">
        <f t="shared" si="4"/>
        <v>0</v>
      </c>
      <c r="R90">
        <f t="shared" si="5"/>
        <v>0</v>
      </c>
    </row>
    <row r="91" spans="1:18" hidden="1" x14ac:dyDescent="0.25">
      <c r="A91" s="130"/>
      <c r="B91" s="130"/>
      <c r="C91" s="134"/>
      <c r="D91" s="130"/>
      <c r="E91" s="139"/>
      <c r="F91" s="130"/>
      <c r="G91" s="134"/>
      <c r="H91" s="134"/>
      <c r="I91" s="134"/>
      <c r="J91" s="134"/>
      <c r="K91" s="134"/>
      <c r="L91" s="134">
        <f>SUM(L74:L90)</f>
        <v>0</v>
      </c>
      <c r="M91" s="134"/>
      <c r="N91" s="134">
        <f>SUM(N74:N90)</f>
        <v>0</v>
      </c>
      <c r="O91" s="130"/>
      <c r="P91" s="134">
        <f>SUM(P74:P90)</f>
        <v>0</v>
      </c>
      <c r="R91" s="11">
        <f>SUM(R74:R90)</f>
        <v>0</v>
      </c>
    </row>
    <row r="92" spans="1:18" x14ac:dyDescent="0.25">
      <c r="A92" s="130"/>
      <c r="B92" s="130"/>
      <c r="C92" s="134"/>
      <c r="D92" s="130"/>
      <c r="E92" s="139"/>
      <c r="F92" s="130"/>
      <c r="G92" s="134"/>
      <c r="H92" s="134"/>
      <c r="I92" s="134"/>
      <c r="J92" s="134"/>
      <c r="K92" s="134"/>
      <c r="L92" s="134"/>
      <c r="M92" s="134"/>
      <c r="N92" s="130"/>
      <c r="O92" s="130"/>
      <c r="P92" s="130"/>
    </row>
    <row r="93" spans="1:18" x14ac:dyDescent="0.25">
      <c r="A93" s="130"/>
      <c r="B93" s="130"/>
      <c r="C93" s="134"/>
      <c r="D93" s="130"/>
      <c r="E93" s="139"/>
      <c r="F93" s="130"/>
      <c r="G93" s="134"/>
      <c r="H93" s="134"/>
      <c r="I93" s="134"/>
      <c r="J93" s="134"/>
      <c r="K93" s="134"/>
      <c r="L93" s="134"/>
      <c r="M93" s="134"/>
      <c r="N93" s="130"/>
      <c r="O93" s="130"/>
      <c r="P93" s="130"/>
    </row>
    <row r="94" spans="1:18" x14ac:dyDescent="0.25">
      <c r="A94" s="130"/>
      <c r="B94" s="130"/>
      <c r="C94" s="134"/>
      <c r="D94" s="130"/>
      <c r="E94" s="139"/>
      <c r="F94" s="130"/>
      <c r="G94" s="134"/>
      <c r="H94" s="134"/>
      <c r="I94" s="134"/>
      <c r="J94" s="134"/>
      <c r="K94" s="134"/>
      <c r="L94" s="134"/>
      <c r="M94" s="134"/>
      <c r="N94" s="130"/>
      <c r="O94" s="130"/>
      <c r="P94" s="130"/>
    </row>
    <row r="95" spans="1:18" x14ac:dyDescent="0.25">
      <c r="A95" s="130"/>
      <c r="B95" s="130"/>
      <c r="C95" s="134"/>
      <c r="D95" s="130"/>
      <c r="E95" s="139"/>
      <c r="F95" s="130"/>
      <c r="G95" s="134"/>
      <c r="H95" s="134"/>
      <c r="I95" s="134"/>
      <c r="J95" s="134"/>
      <c r="K95" s="134"/>
      <c r="L95" s="134"/>
      <c r="M95" s="134"/>
      <c r="N95" s="130"/>
      <c r="O95" s="130"/>
      <c r="P95" s="130"/>
    </row>
  </sheetData>
  <sheetProtection sheet="1" objects="1" scenarios="1" selectLockedCells="1"/>
  <mergeCells count="37">
    <mergeCell ref="A40:L40"/>
    <mergeCell ref="B31:D31"/>
    <mergeCell ref="F31:L37"/>
    <mergeCell ref="B33:D33"/>
    <mergeCell ref="B35:D35"/>
    <mergeCell ref="B37:D37"/>
    <mergeCell ref="B39:D39"/>
    <mergeCell ref="F39:J39"/>
    <mergeCell ref="B29:D29"/>
    <mergeCell ref="F29:L29"/>
    <mergeCell ref="B17:D17"/>
    <mergeCell ref="F17:L17"/>
    <mergeCell ref="B19:D19"/>
    <mergeCell ref="F19:L19"/>
    <mergeCell ref="B21:D21"/>
    <mergeCell ref="F21:L21"/>
    <mergeCell ref="B23:D23"/>
    <mergeCell ref="F23:L23"/>
    <mergeCell ref="D25:H25"/>
    <mergeCell ref="F27:H27"/>
    <mergeCell ref="J27:L27"/>
    <mergeCell ref="A1:M1"/>
    <mergeCell ref="A2:A39"/>
    <mergeCell ref="D2:H2"/>
    <mergeCell ref="M2:M40"/>
    <mergeCell ref="D4:F4"/>
    <mergeCell ref="H4:J4"/>
    <mergeCell ref="B7:D7"/>
    <mergeCell ref="F7:L7"/>
    <mergeCell ref="F9:H9"/>
    <mergeCell ref="J9:L9"/>
    <mergeCell ref="F11:H11"/>
    <mergeCell ref="J11:L11"/>
    <mergeCell ref="F13:H13"/>
    <mergeCell ref="J13:L13"/>
    <mergeCell ref="B15:D15"/>
    <mergeCell ref="F15:L15"/>
  </mergeCells>
  <dataValidations count="9">
    <dataValidation type="list" allowBlank="1" showInputMessage="1" showErrorMessage="1" sqref="J13:L13">
      <formula1>Morale</formula1>
    </dataValidation>
    <dataValidation type="list" allowBlank="1" showInputMessage="1" showErrorMessage="1" sqref="L39">
      <formula1>CHA</formula1>
    </dataValidation>
    <dataValidation type="list" allowBlank="1" showInputMessage="1" showErrorMessage="1" sqref="B17:D17 B19:D19 B21:D21 B23:D23">
      <formula1>Tactics</formula1>
    </dataValidation>
    <dataValidation type="list" allowBlank="1" showInputMessage="1" showErrorMessage="1" sqref="L4">
      <formula1>Active</formula1>
    </dataValidation>
    <dataValidation type="list" allowBlank="1" showInputMessage="1" showErrorMessage="1" sqref="B31:D31 B33:D33 B35:D35 B37:D37 B39:D39">
      <formula1>Abilities</formula1>
    </dataValidation>
    <dataValidation type="list" allowBlank="1" showInputMessage="1" showErrorMessage="1" sqref="F17:L17 F21:L21 F19:L19 F23:L23">
      <formula1>Resources</formula1>
    </dataValidation>
    <dataValidation type="list" allowBlank="1" showInputMessage="1" showErrorMessage="1" sqref="D4">
      <formula1>Size</formula1>
    </dataValidation>
    <dataValidation type="list" allowBlank="1" showInputMessage="1" showErrorMessage="1" sqref="L25">
      <formula1>CR</formula1>
    </dataValidation>
    <dataValidation type="list" allowBlank="1" showInputMessage="1" showErrorMessage="1" sqref="L26 J27:L27">
      <formula1>HD</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71"/>
  <sheetViews>
    <sheetView topLeftCell="AF34" zoomScaleNormal="100" zoomScalePageLayoutView="70" workbookViewId="0">
      <selection activeCell="AL37" sqref="AL37"/>
    </sheetView>
  </sheetViews>
  <sheetFormatPr defaultColWidth="9.140625" defaultRowHeight="15" x14ac:dyDescent="0.25"/>
  <cols>
    <col min="1" max="1" width="21.85546875" hidden="1" customWidth="1"/>
    <col min="2" max="5" width="9.140625" hidden="1" customWidth="1"/>
    <col min="6" max="7" width="2.7109375" hidden="1" customWidth="1"/>
    <col min="8" max="9" width="10" hidden="1" customWidth="1"/>
    <col min="10" max="10" width="2.7109375" hidden="1" customWidth="1"/>
    <col min="11" max="12" width="10" hidden="1" customWidth="1"/>
    <col min="13" max="13" width="2.7109375" hidden="1" customWidth="1"/>
    <col min="14" max="15" width="10" hidden="1" customWidth="1"/>
    <col min="16" max="17" width="2.7109375" hidden="1" customWidth="1"/>
    <col min="18" max="18" width="2.85546875" hidden="1" customWidth="1"/>
    <col min="19" max="20" width="2.7109375" hidden="1" customWidth="1"/>
    <col min="21" max="22" width="10" hidden="1" customWidth="1"/>
    <col min="23" max="23" width="2.7109375" hidden="1" customWidth="1"/>
    <col min="24" max="25" width="10" hidden="1" customWidth="1"/>
    <col min="26" max="26" width="2.7109375" hidden="1" customWidth="1"/>
    <col min="27" max="28" width="10" hidden="1" customWidth="1"/>
    <col min="29" max="30" width="2.7109375" hidden="1" customWidth="1"/>
    <col min="31" max="31" width="2.85546875" hidden="1" customWidth="1"/>
    <col min="32" max="33" width="2.7109375" customWidth="1"/>
    <col min="34" max="35" width="10" customWidth="1"/>
    <col min="36" max="36" width="2.7109375" customWidth="1"/>
    <col min="37" max="38" width="10" customWidth="1"/>
    <col min="39" max="39" width="2.7109375" customWidth="1"/>
    <col min="40" max="41" width="10" customWidth="1"/>
    <col min="42" max="43" width="2.7109375" customWidth="1"/>
    <col min="44" max="44" width="2.85546875" hidden="1" customWidth="1"/>
    <col min="45" max="46" width="2.7109375" hidden="1" customWidth="1"/>
    <col min="47" max="48" width="10" hidden="1" customWidth="1"/>
    <col min="49" max="49" width="2.7109375" hidden="1" customWidth="1"/>
    <col min="50" max="51" width="10" hidden="1" customWidth="1"/>
    <col min="52" max="52" width="2.7109375" hidden="1" customWidth="1"/>
    <col min="53" max="54" width="10" hidden="1" customWidth="1"/>
    <col min="55" max="56" width="2.7109375" hidden="1" customWidth="1"/>
    <col min="57" max="57" width="2.85546875" hidden="1" customWidth="1"/>
    <col min="58" max="59" width="2.7109375" hidden="1" customWidth="1"/>
    <col min="60" max="61" width="10" hidden="1" customWidth="1"/>
    <col min="62" max="62" width="2.7109375" hidden="1" customWidth="1"/>
    <col min="63" max="64" width="10" hidden="1" customWidth="1"/>
    <col min="65" max="65" width="2.7109375" hidden="1" customWidth="1"/>
    <col min="66" max="67" width="10" hidden="1" customWidth="1"/>
    <col min="68" max="69" width="2.7109375" hidden="1" customWidth="1"/>
  </cols>
  <sheetData>
    <row r="1" spans="1:69" hidden="1" x14ac:dyDescent="0.25"/>
    <row r="2" spans="1:69" hidden="1" x14ac:dyDescent="0.25"/>
    <row r="3" spans="1:69" hidden="1" x14ac:dyDescent="0.25"/>
    <row r="4" spans="1:69" hidden="1" x14ac:dyDescent="0.25"/>
    <row r="5" spans="1:69" hidden="1" x14ac:dyDescent="0.25"/>
    <row r="6" spans="1:69" hidden="1" x14ac:dyDescent="0.25"/>
    <row r="7" spans="1:69" hidden="1" x14ac:dyDescent="0.25"/>
    <row r="8" spans="1:69" ht="15.75" hidden="1" thickBot="1" x14ac:dyDescent="0.3">
      <c r="A8" s="9" t="s">
        <v>1249</v>
      </c>
      <c r="B8" s="51" t="s">
        <v>10</v>
      </c>
      <c r="C8" s="51" t="s">
        <v>1252</v>
      </c>
      <c r="G8" s="448" t="s">
        <v>1251</v>
      </c>
      <c r="H8" s="448"/>
      <c r="I8" s="448"/>
      <c r="J8" s="448"/>
      <c r="K8" s="448"/>
      <c r="L8" s="448"/>
      <c r="M8" s="448"/>
      <c r="N8" s="448"/>
      <c r="O8" s="448"/>
      <c r="P8" s="448"/>
      <c r="T8" s="448" t="s">
        <v>1251</v>
      </c>
      <c r="U8" s="448"/>
      <c r="V8" s="448"/>
      <c r="W8" s="448"/>
      <c r="X8" s="448"/>
      <c r="Y8" s="448"/>
      <c r="Z8" s="448"/>
      <c r="AA8" s="448"/>
      <c r="AB8" s="448"/>
      <c r="AC8" s="448"/>
      <c r="AG8" s="448" t="s">
        <v>1251</v>
      </c>
      <c r="AH8" s="448"/>
      <c r="AI8" s="448"/>
      <c r="AJ8" s="448"/>
      <c r="AK8" s="448"/>
      <c r="AL8" s="448"/>
      <c r="AM8" s="448"/>
      <c r="AN8" s="448"/>
      <c r="AO8" s="448"/>
      <c r="AP8" s="448"/>
      <c r="AT8" s="448" t="s">
        <v>1251</v>
      </c>
      <c r="AU8" s="448"/>
      <c r="AV8" s="448"/>
      <c r="AW8" s="448"/>
      <c r="AX8" s="448"/>
      <c r="AY8" s="448"/>
      <c r="AZ8" s="448"/>
      <c r="BA8" s="448"/>
      <c r="BB8" s="448"/>
      <c r="BC8" s="448"/>
      <c r="BG8" s="448" t="s">
        <v>1251</v>
      </c>
      <c r="BH8" s="448"/>
      <c r="BI8" s="448"/>
      <c r="BJ8" s="448"/>
      <c r="BK8" s="448"/>
      <c r="BL8" s="448"/>
      <c r="BM8" s="448"/>
      <c r="BN8" s="448"/>
      <c r="BO8" s="448"/>
      <c r="BP8" s="448"/>
    </row>
    <row r="9" spans="1:69" ht="15" hidden="1" customHeight="1" x14ac:dyDescent="0.25">
      <c r="A9" t="s">
        <v>0</v>
      </c>
      <c r="B9" t="s">
        <v>10</v>
      </c>
      <c r="C9" t="s">
        <v>1251</v>
      </c>
      <c r="F9" s="449" t="s">
        <v>1251</v>
      </c>
      <c r="G9" s="263"/>
      <c r="H9" s="451"/>
      <c r="I9" s="451"/>
      <c r="J9" s="451"/>
      <c r="K9" s="451"/>
      <c r="L9" s="451"/>
      <c r="M9" s="451"/>
      <c r="N9" s="451"/>
      <c r="O9" s="451"/>
      <c r="P9" s="263"/>
      <c r="Q9" s="450" t="s">
        <v>1251</v>
      </c>
      <c r="S9" s="449" t="s">
        <v>1251</v>
      </c>
      <c r="T9" s="263"/>
      <c r="U9" s="451"/>
      <c r="V9" s="451"/>
      <c r="W9" s="451"/>
      <c r="X9" s="451"/>
      <c r="Y9" s="451"/>
      <c r="Z9" s="451"/>
      <c r="AA9" s="451"/>
      <c r="AB9" s="451"/>
      <c r="AC9" s="263"/>
      <c r="AD9" s="450" t="s">
        <v>1251</v>
      </c>
      <c r="AF9" s="449" t="s">
        <v>1251</v>
      </c>
      <c r="AG9" s="263"/>
      <c r="AH9" s="451"/>
      <c r="AI9" s="451"/>
      <c r="AJ9" s="451"/>
      <c r="AK9" s="451"/>
      <c r="AL9" s="451"/>
      <c r="AM9" s="451"/>
      <c r="AN9" s="451"/>
      <c r="AO9" s="451"/>
      <c r="AP9" s="263"/>
      <c r="AQ9" s="450" t="s">
        <v>1251</v>
      </c>
      <c r="AS9" s="449" t="s">
        <v>1251</v>
      </c>
      <c r="AT9" s="263"/>
      <c r="AU9" s="451"/>
      <c r="AV9" s="451"/>
      <c r="AW9" s="451"/>
      <c r="AX9" s="451"/>
      <c r="AY9" s="451"/>
      <c r="AZ9" s="451"/>
      <c r="BA9" s="451"/>
      <c r="BB9" s="451"/>
      <c r="BC9" s="263"/>
      <c r="BD9" s="450" t="s">
        <v>1251</v>
      </c>
      <c r="BF9" s="449" t="s">
        <v>1251</v>
      </c>
      <c r="BG9" s="263"/>
      <c r="BH9" s="451"/>
      <c r="BI9" s="451"/>
      <c r="BJ9" s="451"/>
      <c r="BK9" s="451"/>
      <c r="BL9" s="451"/>
      <c r="BM9" s="451"/>
      <c r="BN9" s="451"/>
      <c r="BO9" s="451"/>
      <c r="BP9" s="263"/>
      <c r="BQ9" s="450" t="s">
        <v>1251</v>
      </c>
    </row>
    <row r="10" spans="1:69" ht="56.85" hidden="1" customHeight="1" x14ac:dyDescent="0.25">
      <c r="A10" t="s">
        <v>1</v>
      </c>
      <c r="C10" t="s">
        <v>1250</v>
      </c>
      <c r="D10" s="264"/>
      <c r="F10" s="449"/>
      <c r="G10" s="452"/>
      <c r="H10" s="265"/>
      <c r="I10" s="266"/>
      <c r="J10" s="263"/>
      <c r="K10" s="265"/>
      <c r="L10" s="266"/>
      <c r="M10" s="263"/>
      <c r="N10" s="265"/>
      <c r="O10" s="266"/>
      <c r="P10" s="453"/>
      <c r="Q10" s="450"/>
      <c r="S10" s="449"/>
      <c r="T10" s="452"/>
      <c r="U10" s="265"/>
      <c r="V10" s="266"/>
      <c r="W10" s="269"/>
      <c r="X10" s="265"/>
      <c r="Y10" s="266"/>
      <c r="Z10" s="269"/>
      <c r="AA10" s="265"/>
      <c r="AB10" s="266"/>
      <c r="AC10" s="453"/>
      <c r="AD10" s="450"/>
      <c r="AF10" s="449"/>
      <c r="AG10" s="452"/>
      <c r="AH10" s="265"/>
      <c r="AI10" s="266"/>
      <c r="AJ10" s="269"/>
      <c r="AK10" s="265"/>
      <c r="AL10" s="266"/>
      <c r="AM10" s="269"/>
      <c r="AN10" s="265"/>
      <c r="AO10" s="266"/>
      <c r="AP10" s="453"/>
      <c r="AQ10" s="450"/>
      <c r="AS10" s="449"/>
      <c r="AT10" s="452"/>
      <c r="AU10" s="265"/>
      <c r="AV10" s="266"/>
      <c r="AW10" s="269"/>
      <c r="AX10" s="265"/>
      <c r="AY10" s="266"/>
      <c r="AZ10" s="269"/>
      <c r="BA10" s="265"/>
      <c r="BB10" s="266"/>
      <c r="BC10" s="453"/>
      <c r="BD10" s="450"/>
      <c r="BF10" s="449"/>
      <c r="BG10" s="452"/>
      <c r="BH10" s="265"/>
      <c r="BI10" s="266"/>
      <c r="BJ10" s="269"/>
      <c r="BK10" s="265"/>
      <c r="BL10" s="266"/>
      <c r="BM10" s="269"/>
      <c r="BN10" s="265"/>
      <c r="BO10" s="266"/>
      <c r="BP10" s="453"/>
      <c r="BQ10" s="450"/>
    </row>
    <row r="11" spans="1:69" ht="56.85" hidden="1" customHeight="1" x14ac:dyDescent="0.25">
      <c r="A11" t="s">
        <v>368</v>
      </c>
      <c r="F11" s="449"/>
      <c r="G11" s="452"/>
      <c r="H11" s="267"/>
      <c r="I11" s="268"/>
      <c r="J11" s="263"/>
      <c r="K11" s="267"/>
      <c r="L11" s="268"/>
      <c r="M11" s="263"/>
      <c r="N11" s="267"/>
      <c r="O11" s="268"/>
      <c r="P11" s="453"/>
      <c r="Q11" s="450"/>
      <c r="S11" s="449"/>
      <c r="T11" s="452"/>
      <c r="U11" s="267"/>
      <c r="V11" s="268"/>
      <c r="W11" s="269"/>
      <c r="X11" s="267"/>
      <c r="Y11" s="268"/>
      <c r="Z11" s="269"/>
      <c r="AA11" s="267"/>
      <c r="AB11" s="268"/>
      <c r="AC11" s="453"/>
      <c r="AD11" s="450"/>
      <c r="AF11" s="449"/>
      <c r="AG11" s="452"/>
      <c r="AH11" s="267"/>
      <c r="AI11" s="268"/>
      <c r="AJ11" s="269"/>
      <c r="AK11" s="267"/>
      <c r="AL11" s="268"/>
      <c r="AM11" s="269"/>
      <c r="AN11" s="267"/>
      <c r="AO11" s="268"/>
      <c r="AP11" s="453"/>
      <c r="AQ11" s="450"/>
      <c r="AS11" s="449"/>
      <c r="AT11" s="452"/>
      <c r="AU11" s="267"/>
      <c r="AV11" s="268"/>
      <c r="AW11" s="269"/>
      <c r="AX11" s="267"/>
      <c r="AY11" s="268"/>
      <c r="AZ11" s="269"/>
      <c r="BA11" s="267"/>
      <c r="BB11" s="268"/>
      <c r="BC11" s="453"/>
      <c r="BD11" s="450"/>
      <c r="BF11" s="449"/>
      <c r="BG11" s="452"/>
      <c r="BH11" s="267"/>
      <c r="BI11" s="268"/>
      <c r="BJ11" s="269"/>
      <c r="BK11" s="267"/>
      <c r="BL11" s="268"/>
      <c r="BM11" s="269"/>
      <c r="BN11" s="267"/>
      <c r="BO11" s="268"/>
      <c r="BP11" s="453"/>
      <c r="BQ11" s="450"/>
    </row>
    <row r="12" spans="1:69" ht="9.9499999999999993" hidden="1" customHeight="1" x14ac:dyDescent="0.25">
      <c r="A12" t="s">
        <v>2</v>
      </c>
      <c r="F12" s="449"/>
      <c r="G12" s="452"/>
      <c r="H12" s="263"/>
      <c r="I12" s="263"/>
      <c r="J12" s="263"/>
      <c r="K12" s="263"/>
      <c r="L12" s="263"/>
      <c r="M12" s="263"/>
      <c r="N12" s="263"/>
      <c r="O12" s="263"/>
      <c r="P12" s="453"/>
      <c r="Q12" s="450"/>
      <c r="S12" s="449"/>
      <c r="T12" s="452"/>
      <c r="U12" s="269"/>
      <c r="V12" s="269"/>
      <c r="W12" s="269"/>
      <c r="X12" s="269"/>
      <c r="Y12" s="269"/>
      <c r="Z12" s="269"/>
      <c r="AA12" s="269"/>
      <c r="AB12" s="269"/>
      <c r="AC12" s="453"/>
      <c r="AD12" s="450"/>
      <c r="AF12" s="449"/>
      <c r="AG12" s="452"/>
      <c r="AH12" s="269"/>
      <c r="AI12" s="269"/>
      <c r="AJ12" s="269"/>
      <c r="AK12" s="269"/>
      <c r="AL12" s="269"/>
      <c r="AM12" s="269"/>
      <c r="AN12" s="269"/>
      <c r="AO12" s="269"/>
      <c r="AP12" s="453"/>
      <c r="AQ12" s="450"/>
      <c r="AS12" s="449"/>
      <c r="AT12" s="452"/>
      <c r="AU12" s="269"/>
      <c r="AV12" s="269"/>
      <c r="AW12" s="269"/>
      <c r="AX12" s="269"/>
      <c r="AY12" s="269"/>
      <c r="AZ12" s="269"/>
      <c r="BA12" s="269"/>
      <c r="BB12" s="269"/>
      <c r="BC12" s="453"/>
      <c r="BD12" s="450"/>
      <c r="BF12" s="449"/>
      <c r="BG12" s="452"/>
      <c r="BH12" s="269"/>
      <c r="BI12" s="269"/>
      <c r="BJ12" s="269"/>
      <c r="BK12" s="269"/>
      <c r="BL12" s="269"/>
      <c r="BM12" s="269"/>
      <c r="BN12" s="269"/>
      <c r="BO12" s="269"/>
      <c r="BP12" s="453"/>
      <c r="BQ12" s="450"/>
    </row>
    <row r="13" spans="1:69" ht="56.85" hidden="1" customHeight="1" x14ac:dyDescent="0.25">
      <c r="A13" t="s">
        <v>2</v>
      </c>
      <c r="F13" s="449"/>
      <c r="G13" s="452"/>
      <c r="H13" s="265"/>
      <c r="I13" s="266"/>
      <c r="J13" s="263"/>
      <c r="K13" s="265"/>
      <c r="L13" s="266"/>
      <c r="M13" s="263"/>
      <c r="N13" s="265"/>
      <c r="O13" s="266"/>
      <c r="P13" s="453"/>
      <c r="Q13" s="450"/>
      <c r="S13" s="449"/>
      <c r="T13" s="452"/>
      <c r="U13" s="265"/>
      <c r="V13" s="266"/>
      <c r="W13" s="269"/>
      <c r="X13" s="265"/>
      <c r="Y13" s="266"/>
      <c r="Z13" s="269"/>
      <c r="AA13" s="265"/>
      <c r="AB13" s="266"/>
      <c r="AC13" s="453"/>
      <c r="AD13" s="450"/>
      <c r="AF13" s="449"/>
      <c r="AG13" s="452"/>
      <c r="AH13" s="265"/>
      <c r="AI13" s="266"/>
      <c r="AJ13" s="269"/>
      <c r="AK13" s="265"/>
      <c r="AL13" s="266"/>
      <c r="AM13" s="269"/>
      <c r="AN13" s="265"/>
      <c r="AO13" s="266"/>
      <c r="AP13" s="453"/>
      <c r="AQ13" s="450"/>
      <c r="AS13" s="449"/>
      <c r="AT13" s="452"/>
      <c r="AU13" s="265"/>
      <c r="AV13" s="266"/>
      <c r="AW13" s="269"/>
      <c r="AX13" s="265"/>
      <c r="AY13" s="266"/>
      <c r="AZ13" s="269"/>
      <c r="BA13" s="265"/>
      <c r="BB13" s="266"/>
      <c r="BC13" s="453"/>
      <c r="BD13" s="450"/>
      <c r="BF13" s="449"/>
      <c r="BG13" s="452"/>
      <c r="BH13" s="265"/>
      <c r="BI13" s="266"/>
      <c r="BJ13" s="269"/>
      <c r="BK13" s="265"/>
      <c r="BL13" s="266"/>
      <c r="BM13" s="269"/>
      <c r="BN13" s="265"/>
      <c r="BO13" s="266"/>
      <c r="BP13" s="453"/>
      <c r="BQ13" s="450"/>
    </row>
    <row r="14" spans="1:69" ht="56.85" hidden="1" customHeight="1" x14ac:dyDescent="0.25">
      <c r="A14" t="s">
        <v>369</v>
      </c>
      <c r="F14" s="449"/>
      <c r="G14" s="452"/>
      <c r="H14" s="267"/>
      <c r="I14" s="268"/>
      <c r="J14" s="263"/>
      <c r="K14" s="267"/>
      <c r="L14" s="268"/>
      <c r="M14" s="263"/>
      <c r="N14" s="267"/>
      <c r="O14" s="268"/>
      <c r="P14" s="453"/>
      <c r="Q14" s="450"/>
      <c r="S14" s="449"/>
      <c r="T14" s="452"/>
      <c r="U14" s="267"/>
      <c r="V14" s="268"/>
      <c r="W14" s="269"/>
      <c r="X14" s="267"/>
      <c r="Y14" s="268"/>
      <c r="Z14" s="269"/>
      <c r="AA14" s="267"/>
      <c r="AB14" s="268"/>
      <c r="AC14" s="453"/>
      <c r="AD14" s="450"/>
      <c r="AF14" s="449"/>
      <c r="AG14" s="452"/>
      <c r="AH14" s="267"/>
      <c r="AI14" s="268"/>
      <c r="AJ14" s="269"/>
      <c r="AK14" s="267"/>
      <c r="AL14" s="268"/>
      <c r="AM14" s="269"/>
      <c r="AN14" s="267"/>
      <c r="AO14" s="268"/>
      <c r="AP14" s="453"/>
      <c r="AQ14" s="450"/>
      <c r="AS14" s="449"/>
      <c r="AT14" s="452"/>
      <c r="AU14" s="267"/>
      <c r="AV14" s="268"/>
      <c r="AW14" s="269"/>
      <c r="AX14" s="267"/>
      <c r="AY14" s="268"/>
      <c r="AZ14" s="269"/>
      <c r="BA14" s="267"/>
      <c r="BB14" s="268"/>
      <c r="BC14" s="453"/>
      <c r="BD14" s="450"/>
      <c r="BF14" s="449"/>
      <c r="BG14" s="452"/>
      <c r="BH14" s="267"/>
      <c r="BI14" s="268"/>
      <c r="BJ14" s="269"/>
      <c r="BK14" s="267"/>
      <c r="BL14" s="268"/>
      <c r="BM14" s="269"/>
      <c r="BN14" s="267"/>
      <c r="BO14" s="268"/>
      <c r="BP14" s="453"/>
      <c r="BQ14" s="450"/>
    </row>
    <row r="15" spans="1:69" ht="9.9499999999999993" hidden="1" customHeight="1" x14ac:dyDescent="0.25">
      <c r="A15" t="s">
        <v>370</v>
      </c>
      <c r="F15" s="449"/>
      <c r="G15" s="452"/>
      <c r="H15" s="263"/>
      <c r="I15" s="263"/>
      <c r="J15" s="263"/>
      <c r="K15" s="263"/>
      <c r="L15" s="263"/>
      <c r="M15" s="263"/>
      <c r="N15" s="263"/>
      <c r="O15" s="263"/>
      <c r="P15" s="453"/>
      <c r="Q15" s="450"/>
      <c r="S15" s="449"/>
      <c r="T15" s="452"/>
      <c r="U15" s="269"/>
      <c r="V15" s="269"/>
      <c r="W15" s="269"/>
      <c r="X15" s="269"/>
      <c r="Y15" s="269"/>
      <c r="Z15" s="269"/>
      <c r="AA15" s="269"/>
      <c r="AB15" s="269"/>
      <c r="AC15" s="453"/>
      <c r="AD15" s="450"/>
      <c r="AF15" s="449"/>
      <c r="AG15" s="452"/>
      <c r="AH15" s="269"/>
      <c r="AI15" s="269"/>
      <c r="AJ15" s="269"/>
      <c r="AK15" s="269"/>
      <c r="AL15" s="269"/>
      <c r="AM15" s="269"/>
      <c r="AN15" s="269"/>
      <c r="AO15" s="269"/>
      <c r="AP15" s="453"/>
      <c r="AQ15" s="450"/>
      <c r="AS15" s="449"/>
      <c r="AT15" s="452"/>
      <c r="AU15" s="269"/>
      <c r="AV15" s="269"/>
      <c r="AW15" s="269"/>
      <c r="AX15" s="269"/>
      <c r="AY15" s="269"/>
      <c r="AZ15" s="269"/>
      <c r="BA15" s="269"/>
      <c r="BB15" s="269"/>
      <c r="BC15" s="453"/>
      <c r="BD15" s="450"/>
      <c r="BF15" s="449"/>
      <c r="BG15" s="452"/>
      <c r="BH15" s="269"/>
      <c r="BI15" s="269"/>
      <c r="BJ15" s="269"/>
      <c r="BK15" s="269"/>
      <c r="BL15" s="269"/>
      <c r="BM15" s="269"/>
      <c r="BN15" s="269"/>
      <c r="BO15" s="269"/>
      <c r="BP15" s="453"/>
      <c r="BQ15" s="450"/>
    </row>
    <row r="16" spans="1:69" ht="56.85" hidden="1" customHeight="1" x14ac:dyDescent="0.25">
      <c r="A16" t="s">
        <v>3</v>
      </c>
      <c r="F16" s="449"/>
      <c r="G16" s="452"/>
      <c r="H16" s="265"/>
      <c r="I16" s="266"/>
      <c r="J16" s="263"/>
      <c r="K16" s="265"/>
      <c r="L16" s="266"/>
      <c r="M16" s="263"/>
      <c r="N16" s="265"/>
      <c r="O16" s="266"/>
      <c r="P16" s="453"/>
      <c r="Q16" s="450"/>
      <c r="S16" s="449"/>
      <c r="T16" s="452"/>
      <c r="U16" s="265"/>
      <c r="V16" s="266"/>
      <c r="W16" s="269"/>
      <c r="X16" s="265"/>
      <c r="Y16" s="266"/>
      <c r="Z16" s="269"/>
      <c r="AA16" s="265"/>
      <c r="AB16" s="266"/>
      <c r="AC16" s="453"/>
      <c r="AD16" s="450"/>
      <c r="AF16" s="449"/>
      <c r="AG16" s="452"/>
      <c r="AH16" s="265"/>
      <c r="AI16" s="266"/>
      <c r="AJ16" s="269"/>
      <c r="AK16" s="265"/>
      <c r="AL16" s="266"/>
      <c r="AM16" s="269"/>
      <c r="AN16" s="265"/>
      <c r="AO16" s="266"/>
      <c r="AP16" s="453"/>
      <c r="AQ16" s="450"/>
      <c r="AS16" s="449"/>
      <c r="AT16" s="452"/>
      <c r="AU16" s="265"/>
      <c r="AV16" s="266"/>
      <c r="AW16" s="269"/>
      <c r="AX16" s="265"/>
      <c r="AY16" s="266"/>
      <c r="AZ16" s="269"/>
      <c r="BA16" s="265"/>
      <c r="BB16" s="266"/>
      <c r="BC16" s="453"/>
      <c r="BD16" s="450"/>
      <c r="BF16" s="449"/>
      <c r="BG16" s="452"/>
      <c r="BH16" s="265"/>
      <c r="BI16" s="266"/>
      <c r="BJ16" s="269"/>
      <c r="BK16" s="265"/>
      <c r="BL16" s="266"/>
      <c r="BM16" s="269"/>
      <c r="BN16" s="265"/>
      <c r="BO16" s="266"/>
      <c r="BP16" s="453"/>
      <c r="BQ16" s="450"/>
    </row>
    <row r="17" spans="1:69" ht="56.85" hidden="1" customHeight="1" x14ac:dyDescent="0.25">
      <c r="A17" t="s">
        <v>4</v>
      </c>
      <c r="F17" s="449"/>
      <c r="G17" s="452"/>
      <c r="H17" s="267"/>
      <c r="I17" s="268"/>
      <c r="J17" s="263"/>
      <c r="K17" s="267"/>
      <c r="L17" s="268"/>
      <c r="M17" s="263"/>
      <c r="N17" s="267"/>
      <c r="O17" s="268"/>
      <c r="P17" s="453"/>
      <c r="Q17" s="450"/>
      <c r="S17" s="449"/>
      <c r="T17" s="452"/>
      <c r="U17" s="267"/>
      <c r="V17" s="268"/>
      <c r="W17" s="269"/>
      <c r="X17" s="267"/>
      <c r="Y17" s="268"/>
      <c r="Z17" s="269"/>
      <c r="AA17" s="267"/>
      <c r="AB17" s="268"/>
      <c r="AC17" s="453"/>
      <c r="AD17" s="450"/>
      <c r="AF17" s="449"/>
      <c r="AG17" s="452"/>
      <c r="AH17" s="267"/>
      <c r="AI17" s="268"/>
      <c r="AJ17" s="269"/>
      <c r="AK17" s="267"/>
      <c r="AL17" s="268"/>
      <c r="AM17" s="269"/>
      <c r="AN17" s="267"/>
      <c r="AO17" s="268"/>
      <c r="AP17" s="453"/>
      <c r="AQ17" s="450"/>
      <c r="AS17" s="449"/>
      <c r="AT17" s="452"/>
      <c r="AU17" s="267"/>
      <c r="AV17" s="268"/>
      <c r="AW17" s="269"/>
      <c r="AX17" s="267"/>
      <c r="AY17" s="268"/>
      <c r="AZ17" s="269"/>
      <c r="BA17" s="267"/>
      <c r="BB17" s="268"/>
      <c r="BC17" s="453"/>
      <c r="BD17" s="450"/>
      <c r="BF17" s="449"/>
      <c r="BG17" s="452"/>
      <c r="BH17" s="267"/>
      <c r="BI17" s="268"/>
      <c r="BJ17" s="269"/>
      <c r="BK17" s="267"/>
      <c r="BL17" s="268"/>
      <c r="BM17" s="269"/>
      <c r="BN17" s="267"/>
      <c r="BO17" s="268"/>
      <c r="BP17" s="453"/>
      <c r="BQ17" s="450"/>
    </row>
    <row r="18" spans="1:69" hidden="1" x14ac:dyDescent="0.25">
      <c r="A18" t="s">
        <v>5</v>
      </c>
      <c r="F18" s="449"/>
      <c r="G18" s="263"/>
      <c r="H18" s="451"/>
      <c r="I18" s="451"/>
      <c r="J18" s="451"/>
      <c r="K18" s="451"/>
      <c r="L18" s="451"/>
      <c r="M18" s="451"/>
      <c r="N18" s="451"/>
      <c r="O18" s="451"/>
      <c r="P18" s="263"/>
      <c r="Q18" s="450"/>
      <c r="S18" s="449"/>
      <c r="T18" s="263"/>
      <c r="U18" s="451"/>
      <c r="V18" s="451"/>
      <c r="W18" s="451"/>
      <c r="X18" s="451"/>
      <c r="Y18" s="451"/>
      <c r="Z18" s="451"/>
      <c r="AA18" s="451"/>
      <c r="AB18" s="451"/>
      <c r="AC18" s="263"/>
      <c r="AD18" s="450"/>
      <c r="AF18" s="449"/>
      <c r="AG18" s="263"/>
      <c r="AH18" s="451"/>
      <c r="AI18" s="451"/>
      <c r="AJ18" s="451"/>
      <c r="AK18" s="451"/>
      <c r="AL18" s="451"/>
      <c r="AM18" s="451"/>
      <c r="AN18" s="451"/>
      <c r="AO18" s="451"/>
      <c r="AP18" s="263"/>
      <c r="AQ18" s="450"/>
      <c r="AS18" s="449"/>
      <c r="AT18" s="263"/>
      <c r="AU18" s="451"/>
      <c r="AV18" s="451"/>
      <c r="AW18" s="451"/>
      <c r="AX18" s="451"/>
      <c r="AY18" s="451"/>
      <c r="AZ18" s="451"/>
      <c r="BA18" s="451"/>
      <c r="BB18" s="451"/>
      <c r="BC18" s="263"/>
      <c r="BD18" s="450"/>
      <c r="BF18" s="449"/>
      <c r="BG18" s="263"/>
      <c r="BH18" s="451"/>
      <c r="BI18" s="451"/>
      <c r="BJ18" s="451"/>
      <c r="BK18" s="451"/>
      <c r="BL18" s="451"/>
      <c r="BM18" s="451"/>
      <c r="BN18" s="451"/>
      <c r="BO18" s="451"/>
      <c r="BP18" s="263"/>
      <c r="BQ18" s="450"/>
    </row>
    <row r="19" spans="1:69" hidden="1" x14ac:dyDescent="0.25">
      <c r="A19" t="s">
        <v>6</v>
      </c>
      <c r="G19" s="448" t="s">
        <v>1251</v>
      </c>
      <c r="H19" s="448"/>
      <c r="I19" s="448"/>
      <c r="J19" s="448"/>
      <c r="K19" s="448"/>
      <c r="L19" s="448"/>
      <c r="M19" s="448"/>
      <c r="N19" s="448"/>
      <c r="O19" s="448"/>
      <c r="P19" s="448"/>
      <c r="T19" s="448" t="s">
        <v>1251</v>
      </c>
      <c r="U19" s="448"/>
      <c r="V19" s="448"/>
      <c r="W19" s="448"/>
      <c r="X19" s="448"/>
      <c r="Y19" s="448"/>
      <c r="Z19" s="448"/>
      <c r="AA19" s="448"/>
      <c r="AB19" s="448"/>
      <c r="AC19" s="448"/>
      <c r="AG19" s="448" t="s">
        <v>1251</v>
      </c>
      <c r="AH19" s="448"/>
      <c r="AI19" s="448"/>
      <c r="AJ19" s="448"/>
      <c r="AK19" s="448"/>
      <c r="AL19" s="448"/>
      <c r="AM19" s="448"/>
      <c r="AN19" s="448"/>
      <c r="AO19" s="448"/>
      <c r="AP19" s="448"/>
      <c r="AT19" s="448" t="s">
        <v>1251</v>
      </c>
      <c r="AU19" s="448"/>
      <c r="AV19" s="448"/>
      <c r="AW19" s="448"/>
      <c r="AX19" s="448"/>
      <c r="AY19" s="448"/>
      <c r="AZ19" s="448"/>
      <c r="BA19" s="448"/>
      <c r="BB19" s="448"/>
      <c r="BC19" s="448"/>
      <c r="BG19" s="448" t="s">
        <v>1251</v>
      </c>
      <c r="BH19" s="448"/>
      <c r="BI19" s="448"/>
      <c r="BJ19" s="448"/>
      <c r="BK19" s="448"/>
      <c r="BL19" s="448"/>
      <c r="BM19" s="448"/>
      <c r="BN19" s="448"/>
      <c r="BO19" s="448"/>
      <c r="BP19" s="448"/>
    </row>
    <row r="20" spans="1:69" hidden="1" x14ac:dyDescent="0.25">
      <c r="A20" t="s">
        <v>371</v>
      </c>
    </row>
    <row r="21" spans="1:69" hidden="1" x14ac:dyDescent="0.25">
      <c r="A21" t="s">
        <v>372</v>
      </c>
      <c r="G21" s="448" t="s">
        <v>1251</v>
      </c>
      <c r="H21" s="448"/>
      <c r="I21" s="448"/>
      <c r="J21" s="448"/>
      <c r="K21" s="448"/>
      <c r="L21" s="448"/>
      <c r="M21" s="448"/>
      <c r="N21" s="448"/>
      <c r="O21" s="448"/>
      <c r="P21" s="448"/>
      <c r="T21" s="448" t="s">
        <v>1251</v>
      </c>
      <c r="U21" s="448"/>
      <c r="V21" s="448"/>
      <c r="W21" s="448"/>
      <c r="X21" s="448"/>
      <c r="Y21" s="448"/>
      <c r="Z21" s="448"/>
      <c r="AA21" s="448"/>
      <c r="AB21" s="448"/>
      <c r="AC21" s="448"/>
      <c r="AG21" s="448" t="s">
        <v>1251</v>
      </c>
      <c r="AH21" s="448"/>
      <c r="AI21" s="448"/>
      <c r="AJ21" s="448"/>
      <c r="AK21" s="448"/>
      <c r="AL21" s="448"/>
      <c r="AM21" s="448"/>
      <c r="AN21" s="448"/>
      <c r="AO21" s="448"/>
      <c r="AP21" s="448"/>
      <c r="AT21" s="448" t="s">
        <v>1251</v>
      </c>
      <c r="AU21" s="448"/>
      <c r="AV21" s="448"/>
      <c r="AW21" s="448"/>
      <c r="AX21" s="448"/>
      <c r="AY21" s="448"/>
      <c r="AZ21" s="448"/>
      <c r="BA21" s="448"/>
      <c r="BB21" s="448"/>
      <c r="BC21" s="448"/>
      <c r="BG21" s="448" t="s">
        <v>1251</v>
      </c>
      <c r="BH21" s="448"/>
      <c r="BI21" s="448"/>
      <c r="BJ21" s="448"/>
      <c r="BK21" s="448"/>
      <c r="BL21" s="448"/>
      <c r="BM21" s="448"/>
      <c r="BN21" s="448"/>
      <c r="BO21" s="448"/>
      <c r="BP21" s="448"/>
    </row>
    <row r="22" spans="1:69" hidden="1" x14ac:dyDescent="0.25">
      <c r="A22" t="s">
        <v>7</v>
      </c>
      <c r="F22" s="449" t="s">
        <v>1251</v>
      </c>
      <c r="G22" s="263"/>
      <c r="H22" s="451"/>
      <c r="I22" s="451"/>
      <c r="J22" s="451"/>
      <c r="K22" s="451"/>
      <c r="L22" s="451"/>
      <c r="M22" s="451"/>
      <c r="N22" s="451"/>
      <c r="O22" s="451"/>
      <c r="P22" s="263"/>
      <c r="Q22" s="450" t="s">
        <v>1251</v>
      </c>
      <c r="S22" s="449" t="s">
        <v>1251</v>
      </c>
      <c r="T22" s="263"/>
      <c r="U22" s="451"/>
      <c r="V22" s="451"/>
      <c r="W22" s="451"/>
      <c r="X22" s="451"/>
      <c r="Y22" s="451"/>
      <c r="Z22" s="451"/>
      <c r="AA22" s="451"/>
      <c r="AB22" s="451"/>
      <c r="AC22" s="263"/>
      <c r="AD22" s="450" t="s">
        <v>1251</v>
      </c>
      <c r="AF22" s="449" t="s">
        <v>1251</v>
      </c>
      <c r="AG22" s="263"/>
      <c r="AH22" s="451"/>
      <c r="AI22" s="451"/>
      <c r="AJ22" s="451"/>
      <c r="AK22" s="451"/>
      <c r="AL22" s="451"/>
      <c r="AM22" s="451"/>
      <c r="AN22" s="451"/>
      <c r="AO22" s="451"/>
      <c r="AP22" s="263"/>
      <c r="AQ22" s="450" t="s">
        <v>1251</v>
      </c>
      <c r="AS22" s="449" t="s">
        <v>1251</v>
      </c>
      <c r="AT22" s="263"/>
      <c r="AU22" s="451"/>
      <c r="AV22" s="451"/>
      <c r="AW22" s="451"/>
      <c r="AX22" s="451"/>
      <c r="AY22" s="451"/>
      <c r="AZ22" s="451"/>
      <c r="BA22" s="451"/>
      <c r="BB22" s="451"/>
      <c r="BC22" s="263"/>
      <c r="BD22" s="450" t="s">
        <v>1251</v>
      </c>
      <c r="BF22" s="449" t="s">
        <v>1251</v>
      </c>
      <c r="BG22" s="263"/>
      <c r="BH22" s="451"/>
      <c r="BI22" s="451"/>
      <c r="BJ22" s="451"/>
      <c r="BK22" s="451"/>
      <c r="BL22" s="451"/>
      <c r="BM22" s="451"/>
      <c r="BN22" s="451"/>
      <c r="BO22" s="451"/>
      <c r="BP22" s="263"/>
      <c r="BQ22" s="450" t="s">
        <v>1251</v>
      </c>
    </row>
    <row r="23" spans="1:69" ht="56.85" hidden="1" customHeight="1" x14ac:dyDescent="0.25">
      <c r="A23" t="s">
        <v>8</v>
      </c>
      <c r="F23" s="449"/>
      <c r="G23" s="452"/>
      <c r="H23" s="265"/>
      <c r="I23" s="266"/>
      <c r="J23" s="269"/>
      <c r="K23" s="265"/>
      <c r="L23" s="266"/>
      <c r="M23" s="269"/>
      <c r="N23" s="265"/>
      <c r="O23" s="266"/>
      <c r="P23" s="453"/>
      <c r="Q23" s="450"/>
      <c r="S23" s="449"/>
      <c r="T23" s="452"/>
      <c r="U23" s="265"/>
      <c r="V23" s="266"/>
      <c r="W23" s="269"/>
      <c r="X23" s="265"/>
      <c r="Y23" s="266"/>
      <c r="Z23" s="269"/>
      <c r="AA23" s="265"/>
      <c r="AB23" s="266"/>
      <c r="AC23" s="453"/>
      <c r="AD23" s="450"/>
      <c r="AF23" s="449"/>
      <c r="AG23" s="452"/>
      <c r="AH23" s="265"/>
      <c r="AI23" s="266"/>
      <c r="AJ23" s="269"/>
      <c r="AK23" s="265"/>
      <c r="AL23" s="266"/>
      <c r="AM23" s="269"/>
      <c r="AN23" s="265"/>
      <c r="AO23" s="266"/>
      <c r="AP23" s="453"/>
      <c r="AQ23" s="450"/>
      <c r="AS23" s="449"/>
      <c r="AT23" s="452"/>
      <c r="AU23" s="265"/>
      <c r="AV23" s="266"/>
      <c r="AW23" s="269"/>
      <c r="AX23" s="265"/>
      <c r="AY23" s="266"/>
      <c r="AZ23" s="269"/>
      <c r="BA23" s="265"/>
      <c r="BB23" s="266"/>
      <c r="BC23" s="453"/>
      <c r="BD23" s="450"/>
      <c r="BF23" s="449"/>
      <c r="BG23" s="452"/>
      <c r="BH23" s="265"/>
      <c r="BI23" s="266"/>
      <c r="BJ23" s="269"/>
      <c r="BK23" s="265"/>
      <c r="BL23" s="266"/>
      <c r="BM23" s="269"/>
      <c r="BN23" s="265"/>
      <c r="BO23" s="266"/>
      <c r="BP23" s="453"/>
      <c r="BQ23" s="450"/>
    </row>
    <row r="24" spans="1:69" ht="56.85" hidden="1" customHeight="1" x14ac:dyDescent="0.25">
      <c r="A24" t="s">
        <v>9</v>
      </c>
      <c r="F24" s="449"/>
      <c r="G24" s="452"/>
      <c r="H24" s="267"/>
      <c r="I24" s="268"/>
      <c r="J24" s="269"/>
      <c r="K24" s="267"/>
      <c r="L24" s="268"/>
      <c r="M24" s="269"/>
      <c r="N24" s="267"/>
      <c r="O24" s="268"/>
      <c r="P24" s="453"/>
      <c r="Q24" s="450"/>
      <c r="S24" s="449"/>
      <c r="T24" s="452"/>
      <c r="U24" s="267"/>
      <c r="V24" s="268"/>
      <c r="W24" s="269"/>
      <c r="X24" s="267"/>
      <c r="Y24" s="268"/>
      <c r="Z24" s="269"/>
      <c r="AA24" s="267"/>
      <c r="AB24" s="268"/>
      <c r="AC24" s="453"/>
      <c r="AD24" s="450"/>
      <c r="AF24" s="449"/>
      <c r="AG24" s="452"/>
      <c r="AH24" s="267"/>
      <c r="AI24" s="268"/>
      <c r="AJ24" s="269"/>
      <c r="AK24" s="267"/>
      <c r="AL24" s="268"/>
      <c r="AM24" s="269"/>
      <c r="AN24" s="267"/>
      <c r="AO24" s="268"/>
      <c r="AP24" s="453"/>
      <c r="AQ24" s="450"/>
      <c r="AS24" s="449"/>
      <c r="AT24" s="452"/>
      <c r="AU24" s="267"/>
      <c r="AV24" s="268"/>
      <c r="AW24" s="269"/>
      <c r="AX24" s="267"/>
      <c r="AY24" s="268"/>
      <c r="AZ24" s="269"/>
      <c r="BA24" s="267"/>
      <c r="BB24" s="268"/>
      <c r="BC24" s="453"/>
      <c r="BD24" s="450"/>
      <c r="BF24" s="449"/>
      <c r="BG24" s="452"/>
      <c r="BH24" s="267"/>
      <c r="BI24" s="268"/>
      <c r="BJ24" s="269"/>
      <c r="BK24" s="267"/>
      <c r="BL24" s="268"/>
      <c r="BM24" s="269"/>
      <c r="BN24" s="267"/>
      <c r="BO24" s="268"/>
      <c r="BP24" s="453"/>
      <c r="BQ24" s="450"/>
    </row>
    <row r="25" spans="1:69" hidden="1" x14ac:dyDescent="0.25">
      <c r="A25" t="s">
        <v>10</v>
      </c>
      <c r="F25" s="449"/>
      <c r="G25" s="452"/>
      <c r="H25" s="269"/>
      <c r="I25" s="269"/>
      <c r="J25" s="269"/>
      <c r="K25" s="269"/>
      <c r="L25" s="269"/>
      <c r="M25" s="269"/>
      <c r="N25" s="269"/>
      <c r="O25" s="269"/>
      <c r="P25" s="453"/>
      <c r="Q25" s="450"/>
      <c r="S25" s="449"/>
      <c r="T25" s="452"/>
      <c r="U25" s="269"/>
      <c r="V25" s="269"/>
      <c r="W25" s="269"/>
      <c r="X25" s="269"/>
      <c r="Y25" s="269"/>
      <c r="Z25" s="269"/>
      <c r="AA25" s="269"/>
      <c r="AB25" s="269"/>
      <c r="AC25" s="453"/>
      <c r="AD25" s="450"/>
      <c r="AF25" s="449"/>
      <c r="AG25" s="452"/>
      <c r="AH25" s="269"/>
      <c r="AI25" s="269"/>
      <c r="AJ25" s="269"/>
      <c r="AK25" s="269"/>
      <c r="AL25" s="269"/>
      <c r="AM25" s="269"/>
      <c r="AN25" s="269"/>
      <c r="AO25" s="269"/>
      <c r="AP25" s="453"/>
      <c r="AQ25" s="450"/>
      <c r="AS25" s="449"/>
      <c r="AT25" s="452"/>
      <c r="AU25" s="269"/>
      <c r="AV25" s="269"/>
      <c r="AW25" s="269"/>
      <c r="AX25" s="269"/>
      <c r="AY25" s="269"/>
      <c r="AZ25" s="269"/>
      <c r="BA25" s="269"/>
      <c r="BB25" s="269"/>
      <c r="BC25" s="453"/>
      <c r="BD25" s="450"/>
      <c r="BF25" s="449"/>
      <c r="BG25" s="452"/>
      <c r="BH25" s="269"/>
      <c r="BI25" s="269"/>
      <c r="BJ25" s="269"/>
      <c r="BK25" s="269"/>
      <c r="BL25" s="269"/>
      <c r="BM25" s="269"/>
      <c r="BN25" s="269"/>
      <c r="BO25" s="269"/>
      <c r="BP25" s="453"/>
      <c r="BQ25" s="450"/>
    </row>
    <row r="26" spans="1:69" ht="56.85" hidden="1" customHeight="1" x14ac:dyDescent="0.25">
      <c r="A26" t="s">
        <v>11</v>
      </c>
      <c r="F26" s="449"/>
      <c r="G26" s="452"/>
      <c r="H26" s="265"/>
      <c r="I26" s="266"/>
      <c r="J26" s="269"/>
      <c r="K26" s="265"/>
      <c r="L26" s="266"/>
      <c r="M26" s="269"/>
      <c r="N26" s="265"/>
      <c r="O26" s="266"/>
      <c r="P26" s="453"/>
      <c r="Q26" s="450"/>
      <c r="S26" s="449"/>
      <c r="T26" s="452"/>
      <c r="U26" s="265"/>
      <c r="V26" s="266"/>
      <c r="W26" s="269"/>
      <c r="X26" s="265"/>
      <c r="Y26" s="266"/>
      <c r="Z26" s="269"/>
      <c r="AA26" s="265"/>
      <c r="AB26" s="266"/>
      <c r="AC26" s="453"/>
      <c r="AD26" s="450"/>
      <c r="AF26" s="449"/>
      <c r="AG26" s="452"/>
      <c r="AH26" s="265"/>
      <c r="AI26" s="266"/>
      <c r="AJ26" s="269"/>
      <c r="AK26" s="265"/>
      <c r="AL26" s="266"/>
      <c r="AM26" s="269"/>
      <c r="AN26" s="265"/>
      <c r="AO26" s="266"/>
      <c r="AP26" s="453"/>
      <c r="AQ26" s="450"/>
      <c r="AS26" s="449"/>
      <c r="AT26" s="452"/>
      <c r="AU26" s="265"/>
      <c r="AV26" s="266"/>
      <c r="AW26" s="269"/>
      <c r="AX26" s="265"/>
      <c r="AY26" s="266"/>
      <c r="AZ26" s="269"/>
      <c r="BA26" s="265"/>
      <c r="BB26" s="266"/>
      <c r="BC26" s="453"/>
      <c r="BD26" s="450"/>
      <c r="BF26" s="449"/>
      <c r="BG26" s="452"/>
      <c r="BH26" s="265"/>
      <c r="BI26" s="266"/>
      <c r="BJ26" s="269"/>
      <c r="BK26" s="265"/>
      <c r="BL26" s="266"/>
      <c r="BM26" s="269"/>
      <c r="BN26" s="265"/>
      <c r="BO26" s="266"/>
      <c r="BP26" s="453"/>
      <c r="BQ26" s="450"/>
    </row>
    <row r="27" spans="1:69" ht="56.85" hidden="1" customHeight="1" x14ac:dyDescent="0.25">
      <c r="A27" t="s">
        <v>12</v>
      </c>
      <c r="F27" s="449"/>
      <c r="G27" s="452"/>
      <c r="H27" s="267"/>
      <c r="I27" s="268"/>
      <c r="J27" s="269"/>
      <c r="K27" s="267"/>
      <c r="L27" s="268"/>
      <c r="M27" s="269"/>
      <c r="N27" s="267"/>
      <c r="O27" s="268"/>
      <c r="P27" s="453"/>
      <c r="Q27" s="450"/>
      <c r="S27" s="449"/>
      <c r="T27" s="452"/>
      <c r="U27" s="267"/>
      <c r="V27" s="268"/>
      <c r="W27" s="269"/>
      <c r="X27" s="267"/>
      <c r="Y27" s="268"/>
      <c r="Z27" s="269"/>
      <c r="AA27" s="267"/>
      <c r="AB27" s="268"/>
      <c r="AC27" s="453"/>
      <c r="AD27" s="450"/>
      <c r="AF27" s="449"/>
      <c r="AG27" s="452"/>
      <c r="AH27" s="267"/>
      <c r="AI27" s="268"/>
      <c r="AJ27" s="269"/>
      <c r="AK27" s="267"/>
      <c r="AL27" s="268"/>
      <c r="AM27" s="269"/>
      <c r="AN27" s="267"/>
      <c r="AO27" s="268"/>
      <c r="AP27" s="453"/>
      <c r="AQ27" s="450"/>
      <c r="AS27" s="449"/>
      <c r="AT27" s="452"/>
      <c r="AU27" s="267"/>
      <c r="AV27" s="268"/>
      <c r="AW27" s="269"/>
      <c r="AX27" s="267"/>
      <c r="AY27" s="268"/>
      <c r="AZ27" s="269"/>
      <c r="BA27" s="267"/>
      <c r="BB27" s="268"/>
      <c r="BC27" s="453"/>
      <c r="BD27" s="450"/>
      <c r="BF27" s="449"/>
      <c r="BG27" s="452"/>
      <c r="BH27" s="267"/>
      <c r="BI27" s="268"/>
      <c r="BJ27" s="269"/>
      <c r="BK27" s="267"/>
      <c r="BL27" s="268"/>
      <c r="BM27" s="269"/>
      <c r="BN27" s="267"/>
      <c r="BO27" s="268"/>
      <c r="BP27" s="453"/>
      <c r="BQ27" s="450"/>
    </row>
    <row r="28" spans="1:69" hidden="1" x14ac:dyDescent="0.25">
      <c r="A28" t="s">
        <v>373</v>
      </c>
      <c r="F28" s="449"/>
      <c r="G28" s="452"/>
      <c r="H28" s="269"/>
      <c r="I28" s="269"/>
      <c r="J28" s="269"/>
      <c r="K28" s="269"/>
      <c r="L28" s="269"/>
      <c r="M28" s="269"/>
      <c r="N28" s="269"/>
      <c r="O28" s="269"/>
      <c r="P28" s="453"/>
      <c r="Q28" s="450"/>
      <c r="S28" s="449"/>
      <c r="T28" s="452"/>
      <c r="U28" s="269"/>
      <c r="V28" s="269"/>
      <c r="W28" s="269"/>
      <c r="X28" s="269"/>
      <c r="Y28" s="269"/>
      <c r="Z28" s="269"/>
      <c r="AA28" s="269"/>
      <c r="AB28" s="269"/>
      <c r="AC28" s="453"/>
      <c r="AD28" s="450"/>
      <c r="AF28" s="449"/>
      <c r="AG28" s="452"/>
      <c r="AH28" s="269"/>
      <c r="AI28" s="269"/>
      <c r="AJ28" s="269"/>
      <c r="AK28" s="269"/>
      <c r="AL28" s="269"/>
      <c r="AM28" s="269"/>
      <c r="AN28" s="269"/>
      <c r="AO28" s="269"/>
      <c r="AP28" s="453"/>
      <c r="AQ28" s="450"/>
      <c r="AS28" s="449"/>
      <c r="AT28" s="452"/>
      <c r="AU28" s="269"/>
      <c r="AV28" s="269"/>
      <c r="AW28" s="269"/>
      <c r="AX28" s="269"/>
      <c r="AY28" s="269"/>
      <c r="AZ28" s="269"/>
      <c r="BA28" s="269"/>
      <c r="BB28" s="269"/>
      <c r="BC28" s="453"/>
      <c r="BD28" s="450"/>
      <c r="BF28" s="449"/>
      <c r="BG28" s="452"/>
      <c r="BH28" s="269"/>
      <c r="BI28" s="269"/>
      <c r="BJ28" s="269"/>
      <c r="BK28" s="269"/>
      <c r="BL28" s="269"/>
      <c r="BM28" s="269"/>
      <c r="BN28" s="269"/>
      <c r="BO28" s="269"/>
      <c r="BP28" s="453"/>
      <c r="BQ28" s="450"/>
    </row>
    <row r="29" spans="1:69" ht="56.85" hidden="1" customHeight="1" x14ac:dyDescent="0.25">
      <c r="A29" t="s">
        <v>13</v>
      </c>
      <c r="F29" s="449"/>
      <c r="G29" s="452"/>
      <c r="H29" s="265"/>
      <c r="I29" s="266"/>
      <c r="J29" s="269"/>
      <c r="K29" s="265"/>
      <c r="L29" s="266"/>
      <c r="M29" s="269"/>
      <c r="N29" s="265"/>
      <c r="O29" s="266"/>
      <c r="P29" s="453"/>
      <c r="Q29" s="450"/>
      <c r="S29" s="449"/>
      <c r="T29" s="452"/>
      <c r="U29" s="265"/>
      <c r="V29" s="266"/>
      <c r="W29" s="269"/>
      <c r="X29" s="265"/>
      <c r="Y29" s="266"/>
      <c r="Z29" s="269"/>
      <c r="AA29" s="265"/>
      <c r="AB29" s="266"/>
      <c r="AC29" s="453"/>
      <c r="AD29" s="450"/>
      <c r="AF29" s="449"/>
      <c r="AG29" s="452"/>
      <c r="AH29" s="265"/>
      <c r="AI29" s="266"/>
      <c r="AJ29" s="269"/>
      <c r="AK29" s="265"/>
      <c r="AL29" s="266"/>
      <c r="AM29" s="269"/>
      <c r="AN29" s="265"/>
      <c r="AO29" s="266"/>
      <c r="AP29" s="453"/>
      <c r="AQ29" s="450"/>
      <c r="AS29" s="449"/>
      <c r="AT29" s="452"/>
      <c r="AU29" s="265"/>
      <c r="AV29" s="266"/>
      <c r="AW29" s="269"/>
      <c r="AX29" s="265"/>
      <c r="AY29" s="266"/>
      <c r="AZ29" s="269"/>
      <c r="BA29" s="265"/>
      <c r="BB29" s="266"/>
      <c r="BC29" s="453"/>
      <c r="BD29" s="450"/>
      <c r="BF29" s="449"/>
      <c r="BG29" s="452"/>
      <c r="BH29" s="265"/>
      <c r="BI29" s="266"/>
      <c r="BJ29" s="269"/>
      <c r="BK29" s="265"/>
      <c r="BL29" s="266"/>
      <c r="BM29" s="269"/>
      <c r="BN29" s="265"/>
      <c r="BO29" s="266"/>
      <c r="BP29" s="453"/>
      <c r="BQ29" s="450"/>
    </row>
    <row r="30" spans="1:69" ht="56.85" hidden="1" customHeight="1" x14ac:dyDescent="0.25">
      <c r="A30" t="s">
        <v>14</v>
      </c>
      <c r="F30" s="449"/>
      <c r="G30" s="452"/>
      <c r="H30" s="267"/>
      <c r="I30" s="268"/>
      <c r="J30" s="269"/>
      <c r="K30" s="267"/>
      <c r="L30" s="268"/>
      <c r="M30" s="269"/>
      <c r="N30" s="267"/>
      <c r="O30" s="268"/>
      <c r="P30" s="453"/>
      <c r="Q30" s="450"/>
      <c r="S30" s="449"/>
      <c r="T30" s="452"/>
      <c r="U30" s="267"/>
      <c r="V30" s="268"/>
      <c r="W30" s="269"/>
      <c r="X30" s="267"/>
      <c r="Y30" s="268"/>
      <c r="Z30" s="269"/>
      <c r="AA30" s="267"/>
      <c r="AB30" s="268"/>
      <c r="AC30" s="453"/>
      <c r="AD30" s="450"/>
      <c r="AF30" s="449"/>
      <c r="AG30" s="452"/>
      <c r="AH30" s="267"/>
      <c r="AI30" s="268"/>
      <c r="AJ30" s="269"/>
      <c r="AK30" s="267"/>
      <c r="AL30" s="268"/>
      <c r="AM30" s="269"/>
      <c r="AN30" s="267"/>
      <c r="AO30" s="268"/>
      <c r="AP30" s="453"/>
      <c r="AQ30" s="450"/>
      <c r="AS30" s="449"/>
      <c r="AT30" s="452"/>
      <c r="AU30" s="267"/>
      <c r="AV30" s="268"/>
      <c r="AW30" s="269"/>
      <c r="AX30" s="267"/>
      <c r="AY30" s="268"/>
      <c r="AZ30" s="269"/>
      <c r="BA30" s="267"/>
      <c r="BB30" s="268"/>
      <c r="BC30" s="453"/>
      <c r="BD30" s="450"/>
      <c r="BF30" s="449"/>
      <c r="BG30" s="452"/>
      <c r="BH30" s="267"/>
      <c r="BI30" s="268"/>
      <c r="BJ30" s="269"/>
      <c r="BK30" s="267"/>
      <c r="BL30" s="268"/>
      <c r="BM30" s="269"/>
      <c r="BN30" s="267"/>
      <c r="BO30" s="268"/>
      <c r="BP30" s="453"/>
      <c r="BQ30" s="450"/>
    </row>
    <row r="31" spans="1:69" hidden="1" x14ac:dyDescent="0.25">
      <c r="A31" t="s">
        <v>15</v>
      </c>
      <c r="F31" s="449"/>
      <c r="G31" s="263"/>
      <c r="H31" s="451"/>
      <c r="I31" s="451"/>
      <c r="J31" s="451"/>
      <c r="K31" s="451"/>
      <c r="L31" s="451"/>
      <c r="M31" s="451"/>
      <c r="N31" s="451"/>
      <c r="O31" s="451"/>
      <c r="P31" s="263"/>
      <c r="Q31" s="450"/>
      <c r="S31" s="449"/>
      <c r="T31" s="263"/>
      <c r="U31" s="451"/>
      <c r="V31" s="451"/>
      <c r="W31" s="451"/>
      <c r="X31" s="451"/>
      <c r="Y31" s="451"/>
      <c r="Z31" s="451"/>
      <c r="AA31" s="451"/>
      <c r="AB31" s="451"/>
      <c r="AC31" s="263"/>
      <c r="AD31" s="450"/>
      <c r="AF31" s="449"/>
      <c r="AG31" s="263"/>
      <c r="AH31" s="451"/>
      <c r="AI31" s="451"/>
      <c r="AJ31" s="451"/>
      <c r="AK31" s="451"/>
      <c r="AL31" s="451"/>
      <c r="AM31" s="451"/>
      <c r="AN31" s="451"/>
      <c r="AO31" s="451"/>
      <c r="AP31" s="263"/>
      <c r="AQ31" s="450"/>
      <c r="AS31" s="449"/>
      <c r="AT31" s="263"/>
      <c r="AU31" s="451"/>
      <c r="AV31" s="451"/>
      <c r="AW31" s="451"/>
      <c r="AX31" s="451"/>
      <c r="AY31" s="451"/>
      <c r="AZ31" s="451"/>
      <c r="BA31" s="451"/>
      <c r="BB31" s="451"/>
      <c r="BC31" s="263"/>
      <c r="BD31" s="450"/>
      <c r="BF31" s="449"/>
      <c r="BG31" s="263"/>
      <c r="BH31" s="451"/>
      <c r="BI31" s="451"/>
      <c r="BJ31" s="451"/>
      <c r="BK31" s="451"/>
      <c r="BL31" s="451"/>
      <c r="BM31" s="451"/>
      <c r="BN31" s="451"/>
      <c r="BO31" s="451"/>
      <c r="BP31" s="263"/>
      <c r="BQ31" s="450"/>
    </row>
    <row r="32" spans="1:69" hidden="1" x14ac:dyDescent="0.25">
      <c r="A32" t="s">
        <v>154</v>
      </c>
      <c r="G32" s="448" t="s">
        <v>1251</v>
      </c>
      <c r="H32" s="448"/>
      <c r="I32" s="448"/>
      <c r="J32" s="448"/>
      <c r="K32" s="448"/>
      <c r="L32" s="448"/>
      <c r="M32" s="448"/>
      <c r="N32" s="448"/>
      <c r="O32" s="448"/>
      <c r="P32" s="448"/>
      <c r="T32" s="448" t="s">
        <v>1251</v>
      </c>
      <c r="U32" s="448"/>
      <c r="V32" s="448"/>
      <c r="W32" s="448"/>
      <c r="X32" s="448"/>
      <c r="Y32" s="448"/>
      <c r="Z32" s="448"/>
      <c r="AA32" s="448"/>
      <c r="AB32" s="448"/>
      <c r="AC32" s="448"/>
      <c r="AG32" s="448" t="s">
        <v>1251</v>
      </c>
      <c r="AH32" s="448"/>
      <c r="AI32" s="448"/>
      <c r="AJ32" s="448"/>
      <c r="AK32" s="448"/>
      <c r="AL32" s="448"/>
      <c r="AM32" s="448"/>
      <c r="AN32" s="448"/>
      <c r="AO32" s="448"/>
      <c r="AP32" s="448"/>
      <c r="AT32" s="448" t="s">
        <v>1251</v>
      </c>
      <c r="AU32" s="448"/>
      <c r="AV32" s="448"/>
      <c r="AW32" s="448"/>
      <c r="AX32" s="448"/>
      <c r="AY32" s="448"/>
      <c r="AZ32" s="448"/>
      <c r="BA32" s="448"/>
      <c r="BB32" s="448"/>
      <c r="BC32" s="448"/>
      <c r="BG32" s="448" t="s">
        <v>1251</v>
      </c>
      <c r="BH32" s="448"/>
      <c r="BI32" s="448"/>
      <c r="BJ32" s="448"/>
      <c r="BK32" s="448"/>
      <c r="BL32" s="448"/>
      <c r="BM32" s="448"/>
      <c r="BN32" s="448"/>
      <c r="BO32" s="448"/>
      <c r="BP32" s="448"/>
    </row>
    <row r="33" spans="1:69" hidden="1" x14ac:dyDescent="0.25">
      <c r="A33" t="s">
        <v>16</v>
      </c>
    </row>
    <row r="34" spans="1:69" x14ac:dyDescent="0.25">
      <c r="A34" t="s">
        <v>17</v>
      </c>
      <c r="G34" s="448" t="s">
        <v>1251</v>
      </c>
      <c r="H34" s="448"/>
      <c r="I34" s="448"/>
      <c r="J34" s="448"/>
      <c r="K34" s="448"/>
      <c r="L34" s="448"/>
      <c r="M34" s="448"/>
      <c r="N34" s="448"/>
      <c r="O34" s="448"/>
      <c r="P34" s="448"/>
      <c r="T34" s="448" t="s">
        <v>1251</v>
      </c>
      <c r="U34" s="448"/>
      <c r="V34" s="448"/>
      <c r="W34" s="448"/>
      <c r="X34" s="448"/>
      <c r="Y34" s="448"/>
      <c r="Z34" s="448"/>
      <c r="AA34" s="448"/>
      <c r="AB34" s="448"/>
      <c r="AC34" s="448"/>
      <c r="AG34" s="448" t="s">
        <v>1251</v>
      </c>
      <c r="AH34" s="448"/>
      <c r="AI34" s="448"/>
      <c r="AJ34" s="448"/>
      <c r="AK34" s="448"/>
      <c r="AL34" s="448"/>
      <c r="AM34" s="448"/>
      <c r="AN34" s="448"/>
      <c r="AO34" s="448"/>
      <c r="AP34" s="448"/>
      <c r="AT34" s="448" t="s">
        <v>1251</v>
      </c>
      <c r="AU34" s="448"/>
      <c r="AV34" s="448"/>
      <c r="AW34" s="448"/>
      <c r="AX34" s="448"/>
      <c r="AY34" s="448"/>
      <c r="AZ34" s="448"/>
      <c r="BA34" s="448"/>
      <c r="BB34" s="448"/>
      <c r="BC34" s="448"/>
      <c r="BG34" s="448" t="s">
        <v>1251</v>
      </c>
      <c r="BH34" s="448"/>
      <c r="BI34" s="448"/>
      <c r="BJ34" s="448"/>
      <c r="BK34" s="448"/>
      <c r="BL34" s="448"/>
      <c r="BM34" s="448"/>
      <c r="BN34" s="448"/>
      <c r="BO34" s="448"/>
      <c r="BP34" s="448"/>
    </row>
    <row r="35" spans="1:69" x14ac:dyDescent="0.25">
      <c r="A35" t="s">
        <v>18</v>
      </c>
      <c r="F35" s="449" t="s">
        <v>1251</v>
      </c>
      <c r="G35" s="263"/>
      <c r="H35" s="451"/>
      <c r="I35" s="451"/>
      <c r="J35" s="451"/>
      <c r="K35" s="451"/>
      <c r="L35" s="451"/>
      <c r="M35" s="451"/>
      <c r="N35" s="451"/>
      <c r="O35" s="451"/>
      <c r="P35" s="263"/>
      <c r="Q35" s="450" t="s">
        <v>1251</v>
      </c>
      <c r="S35" s="449" t="s">
        <v>1251</v>
      </c>
      <c r="T35" s="263"/>
      <c r="U35" s="451"/>
      <c r="V35" s="451"/>
      <c r="W35" s="451"/>
      <c r="X35" s="451"/>
      <c r="Y35" s="451"/>
      <c r="Z35" s="451"/>
      <c r="AA35" s="451"/>
      <c r="AB35" s="451"/>
      <c r="AC35" s="263"/>
      <c r="AD35" s="450" t="s">
        <v>1251</v>
      </c>
      <c r="AF35" s="449" t="s">
        <v>1251</v>
      </c>
      <c r="AG35" s="263"/>
      <c r="AH35" s="451"/>
      <c r="AI35" s="451"/>
      <c r="AJ35" s="451"/>
      <c r="AK35" s="451"/>
      <c r="AL35" s="451"/>
      <c r="AM35" s="451"/>
      <c r="AN35" s="451"/>
      <c r="AO35" s="451"/>
      <c r="AP35" s="263"/>
      <c r="AQ35" s="450" t="s">
        <v>1251</v>
      </c>
      <c r="AS35" s="449" t="s">
        <v>1251</v>
      </c>
      <c r="AT35" s="263"/>
      <c r="AU35" s="451"/>
      <c r="AV35" s="451"/>
      <c r="AW35" s="451"/>
      <c r="AX35" s="451"/>
      <c r="AY35" s="451"/>
      <c r="AZ35" s="451"/>
      <c r="BA35" s="451"/>
      <c r="BB35" s="451"/>
      <c r="BC35" s="263"/>
      <c r="BD35" s="450" t="s">
        <v>1251</v>
      </c>
      <c r="BF35" s="449" t="s">
        <v>1251</v>
      </c>
      <c r="BG35" s="263"/>
      <c r="BH35" s="451"/>
      <c r="BI35" s="451"/>
      <c r="BJ35" s="451"/>
      <c r="BK35" s="451"/>
      <c r="BL35" s="451"/>
      <c r="BM35" s="451"/>
      <c r="BN35" s="451"/>
      <c r="BO35" s="451"/>
      <c r="BP35" s="263"/>
      <c r="BQ35" s="450" t="s">
        <v>1251</v>
      </c>
    </row>
    <row r="36" spans="1:69" ht="56.85" customHeight="1" x14ac:dyDescent="0.25">
      <c r="A36" t="s">
        <v>19</v>
      </c>
      <c r="F36" s="449"/>
      <c r="G36" s="452"/>
      <c r="H36" s="265"/>
      <c r="I36" s="266"/>
      <c r="J36" s="269"/>
      <c r="K36" s="265"/>
      <c r="L36" s="266"/>
      <c r="M36" s="269"/>
      <c r="N36" s="265"/>
      <c r="O36" s="266"/>
      <c r="P36" s="453"/>
      <c r="Q36" s="450"/>
      <c r="S36" s="449"/>
      <c r="T36" s="452"/>
      <c r="U36" s="265"/>
      <c r="V36" s="266"/>
      <c r="W36" s="269"/>
      <c r="X36" s="265"/>
      <c r="Y36" s="266"/>
      <c r="Z36" s="269"/>
      <c r="AA36" s="265"/>
      <c r="AB36" s="266"/>
      <c r="AC36" s="453"/>
      <c r="AD36" s="450"/>
      <c r="AF36" s="449"/>
      <c r="AG36" s="452"/>
      <c r="AH36" s="276"/>
      <c r="AI36" s="277"/>
      <c r="AJ36" s="278"/>
      <c r="AK36" s="276"/>
      <c r="AL36" s="277"/>
      <c r="AM36" s="278"/>
      <c r="AN36" s="276"/>
      <c r="AO36" s="277"/>
      <c r="AP36" s="453"/>
      <c r="AQ36" s="450"/>
      <c r="AS36" s="449"/>
      <c r="AT36" s="452"/>
      <c r="AU36" s="265"/>
      <c r="AV36" s="266"/>
      <c r="AW36" s="269"/>
      <c r="AX36" s="265"/>
      <c r="AY36" s="266"/>
      <c r="AZ36" s="269"/>
      <c r="BA36" s="265"/>
      <c r="BB36" s="266"/>
      <c r="BC36" s="453"/>
      <c r="BD36" s="450"/>
      <c r="BF36" s="449"/>
      <c r="BG36" s="452"/>
      <c r="BH36" s="265"/>
      <c r="BI36" s="266"/>
      <c r="BJ36" s="269"/>
      <c r="BK36" s="265"/>
      <c r="BL36" s="266"/>
      <c r="BM36" s="269"/>
      <c r="BN36" s="265"/>
      <c r="BO36" s="266"/>
      <c r="BP36" s="453"/>
      <c r="BQ36" s="450"/>
    </row>
    <row r="37" spans="1:69" ht="56.85" customHeight="1" x14ac:dyDescent="0.25">
      <c r="A37" t="s">
        <v>374</v>
      </c>
      <c r="F37" s="449"/>
      <c r="G37" s="452"/>
      <c r="H37" s="267"/>
      <c r="I37" s="268"/>
      <c r="J37" s="269"/>
      <c r="K37" s="267"/>
      <c r="L37" s="268"/>
      <c r="M37" s="269"/>
      <c r="N37" s="267"/>
      <c r="O37" s="268"/>
      <c r="P37" s="453"/>
      <c r="Q37" s="450"/>
      <c r="S37" s="449"/>
      <c r="T37" s="452"/>
      <c r="U37" s="267"/>
      <c r="V37" s="268"/>
      <c r="W37" s="269"/>
      <c r="X37" s="267"/>
      <c r="Y37" s="268"/>
      <c r="Z37" s="269"/>
      <c r="AA37" s="267"/>
      <c r="AB37" s="268"/>
      <c r="AC37" s="453"/>
      <c r="AD37" s="450"/>
      <c r="AF37" s="449"/>
      <c r="AG37" s="452"/>
      <c r="AH37" s="279"/>
      <c r="AI37" s="280"/>
      <c r="AJ37" s="278"/>
      <c r="AK37" s="279"/>
      <c r="AL37" s="280"/>
      <c r="AM37" s="278"/>
      <c r="AN37" s="279"/>
      <c r="AO37" s="280"/>
      <c r="AP37" s="453"/>
      <c r="AQ37" s="450"/>
      <c r="AS37" s="449"/>
      <c r="AT37" s="452"/>
      <c r="AU37" s="267"/>
      <c r="AV37" s="268"/>
      <c r="AW37" s="269"/>
      <c r="AX37" s="267"/>
      <c r="AY37" s="268"/>
      <c r="AZ37" s="269"/>
      <c r="BA37" s="267"/>
      <c r="BB37" s="268"/>
      <c r="BC37" s="453"/>
      <c r="BD37" s="450"/>
      <c r="BF37" s="449"/>
      <c r="BG37" s="452"/>
      <c r="BH37" s="267"/>
      <c r="BI37" s="268"/>
      <c r="BJ37" s="269"/>
      <c r="BK37" s="267"/>
      <c r="BL37" s="268"/>
      <c r="BM37" s="269"/>
      <c r="BN37" s="267"/>
      <c r="BO37" s="268"/>
      <c r="BP37" s="453"/>
      <c r="BQ37" s="450"/>
    </row>
    <row r="38" spans="1:69" x14ac:dyDescent="0.25">
      <c r="A38" t="s">
        <v>20</v>
      </c>
      <c r="F38" s="449"/>
      <c r="G38" s="452"/>
      <c r="H38" s="269"/>
      <c r="I38" s="269"/>
      <c r="J38" s="269"/>
      <c r="K38" s="269"/>
      <c r="L38" s="269"/>
      <c r="M38" s="269"/>
      <c r="N38" s="269"/>
      <c r="O38" s="269"/>
      <c r="P38" s="453"/>
      <c r="Q38" s="450"/>
      <c r="S38" s="449"/>
      <c r="T38" s="452"/>
      <c r="U38" s="269"/>
      <c r="V38" s="269"/>
      <c r="W38" s="269"/>
      <c r="X38" s="269"/>
      <c r="Y38" s="269"/>
      <c r="Z38" s="269"/>
      <c r="AA38" s="269"/>
      <c r="AB38" s="269"/>
      <c r="AC38" s="453"/>
      <c r="AD38" s="450"/>
      <c r="AF38" s="449"/>
      <c r="AG38" s="452"/>
      <c r="AH38" s="278"/>
      <c r="AI38" s="278"/>
      <c r="AJ38" s="278"/>
      <c r="AK38" s="278"/>
      <c r="AL38" s="278"/>
      <c r="AM38" s="278"/>
      <c r="AN38" s="278"/>
      <c r="AO38" s="278"/>
      <c r="AP38" s="453"/>
      <c r="AQ38" s="450"/>
      <c r="AS38" s="449"/>
      <c r="AT38" s="452"/>
      <c r="AU38" s="269"/>
      <c r="AV38" s="269"/>
      <c r="AW38" s="269"/>
      <c r="AX38" s="269"/>
      <c r="AY38" s="269"/>
      <c r="AZ38" s="269"/>
      <c r="BA38" s="269"/>
      <c r="BB38" s="269"/>
      <c r="BC38" s="453"/>
      <c r="BD38" s="450"/>
      <c r="BF38" s="449"/>
      <c r="BG38" s="452"/>
      <c r="BH38" s="269"/>
      <c r="BI38" s="269"/>
      <c r="BJ38" s="269"/>
      <c r="BK38" s="269"/>
      <c r="BL38" s="269"/>
      <c r="BM38" s="269"/>
      <c r="BN38" s="269"/>
      <c r="BO38" s="269"/>
      <c r="BP38" s="453"/>
      <c r="BQ38" s="450"/>
    </row>
    <row r="39" spans="1:69" ht="56.85" customHeight="1" x14ac:dyDescent="0.25">
      <c r="A39" t="s">
        <v>21</v>
      </c>
      <c r="F39" s="449"/>
      <c r="G39" s="452"/>
      <c r="H39" s="265"/>
      <c r="I39" s="266"/>
      <c r="J39" s="269"/>
      <c r="K39" s="265"/>
      <c r="L39" s="266"/>
      <c r="M39" s="269"/>
      <c r="N39" s="265"/>
      <c r="O39" s="266"/>
      <c r="P39" s="453"/>
      <c r="Q39" s="450"/>
      <c r="S39" s="449"/>
      <c r="T39" s="452"/>
      <c r="U39" s="265"/>
      <c r="V39" s="266"/>
      <c r="W39" s="269"/>
      <c r="X39" s="265"/>
      <c r="Y39" s="266"/>
      <c r="Z39" s="269"/>
      <c r="AA39" s="265"/>
      <c r="AB39" s="266"/>
      <c r="AC39" s="453"/>
      <c r="AD39" s="450"/>
      <c r="AF39" s="449"/>
      <c r="AG39" s="452"/>
      <c r="AH39" s="276"/>
      <c r="AI39" s="277"/>
      <c r="AJ39" s="278"/>
      <c r="AK39" s="276"/>
      <c r="AL39" s="277"/>
      <c r="AM39" s="278"/>
      <c r="AN39" s="276"/>
      <c r="AO39" s="277"/>
      <c r="AP39" s="453"/>
      <c r="AQ39" s="450"/>
      <c r="AS39" s="449"/>
      <c r="AT39" s="452"/>
      <c r="AU39" s="265"/>
      <c r="AV39" s="266"/>
      <c r="AW39" s="269"/>
      <c r="AX39" s="265"/>
      <c r="AY39" s="266"/>
      <c r="AZ39" s="269"/>
      <c r="BA39" s="265"/>
      <c r="BB39" s="266"/>
      <c r="BC39" s="453"/>
      <c r="BD39" s="450"/>
      <c r="BF39" s="449"/>
      <c r="BG39" s="452"/>
      <c r="BH39" s="265"/>
      <c r="BI39" s="266"/>
      <c r="BJ39" s="269"/>
      <c r="BK39" s="265"/>
      <c r="BL39" s="266"/>
      <c r="BM39" s="269"/>
      <c r="BN39" s="265"/>
      <c r="BO39" s="266"/>
      <c r="BP39" s="453"/>
      <c r="BQ39" s="450"/>
    </row>
    <row r="40" spans="1:69" ht="56.85" customHeight="1" x14ac:dyDescent="0.25">
      <c r="A40" t="s">
        <v>22</v>
      </c>
      <c r="F40" s="449"/>
      <c r="G40" s="452"/>
      <c r="H40" s="267"/>
      <c r="I40" s="268"/>
      <c r="J40" s="269"/>
      <c r="K40" s="267"/>
      <c r="L40" s="268"/>
      <c r="M40" s="269"/>
      <c r="N40" s="267"/>
      <c r="O40" s="268"/>
      <c r="P40" s="453"/>
      <c r="Q40" s="450"/>
      <c r="S40" s="449"/>
      <c r="T40" s="452"/>
      <c r="U40" s="267"/>
      <c r="V40" s="268"/>
      <c r="W40" s="269"/>
      <c r="X40" s="267"/>
      <c r="Y40" s="268"/>
      <c r="Z40" s="269"/>
      <c r="AA40" s="267"/>
      <c r="AB40" s="268"/>
      <c r="AC40" s="453"/>
      <c r="AD40" s="450"/>
      <c r="AF40" s="449"/>
      <c r="AG40" s="452"/>
      <c r="AH40" s="279"/>
      <c r="AI40" s="280"/>
      <c r="AJ40" s="278"/>
      <c r="AK40" s="279"/>
      <c r="AL40" s="280"/>
      <c r="AM40" s="278"/>
      <c r="AN40" s="279"/>
      <c r="AO40" s="280"/>
      <c r="AP40" s="453"/>
      <c r="AQ40" s="450"/>
      <c r="AS40" s="449"/>
      <c r="AT40" s="452"/>
      <c r="AU40" s="267"/>
      <c r="AV40" s="268"/>
      <c r="AW40" s="269"/>
      <c r="AX40" s="267"/>
      <c r="AY40" s="268"/>
      <c r="AZ40" s="269"/>
      <c r="BA40" s="267"/>
      <c r="BB40" s="268"/>
      <c r="BC40" s="453"/>
      <c r="BD40" s="450"/>
      <c r="BF40" s="449"/>
      <c r="BG40" s="452"/>
      <c r="BH40" s="267"/>
      <c r="BI40" s="268"/>
      <c r="BJ40" s="269"/>
      <c r="BK40" s="267"/>
      <c r="BL40" s="268"/>
      <c r="BM40" s="269"/>
      <c r="BN40" s="267"/>
      <c r="BO40" s="268"/>
      <c r="BP40" s="453"/>
      <c r="BQ40" s="450"/>
    </row>
    <row r="41" spans="1:69" x14ac:dyDescent="0.25">
      <c r="A41" t="s">
        <v>23</v>
      </c>
      <c r="F41" s="449"/>
      <c r="G41" s="452"/>
      <c r="H41" s="269"/>
      <c r="I41" s="269"/>
      <c r="J41" s="269"/>
      <c r="K41" s="269"/>
      <c r="L41" s="269"/>
      <c r="M41" s="269"/>
      <c r="N41" s="269"/>
      <c r="O41" s="269"/>
      <c r="P41" s="453"/>
      <c r="Q41" s="450"/>
      <c r="S41" s="449"/>
      <c r="T41" s="452"/>
      <c r="U41" s="269"/>
      <c r="V41" s="269"/>
      <c r="W41" s="269"/>
      <c r="X41" s="269"/>
      <c r="Y41" s="269"/>
      <c r="Z41" s="269"/>
      <c r="AA41" s="269"/>
      <c r="AB41" s="269"/>
      <c r="AC41" s="453"/>
      <c r="AD41" s="450"/>
      <c r="AF41" s="449"/>
      <c r="AG41" s="452"/>
      <c r="AH41" s="278"/>
      <c r="AI41" s="278"/>
      <c r="AJ41" s="278"/>
      <c r="AK41" s="278"/>
      <c r="AL41" s="278"/>
      <c r="AM41" s="278"/>
      <c r="AN41" s="278"/>
      <c r="AO41" s="278"/>
      <c r="AP41" s="453"/>
      <c r="AQ41" s="450"/>
      <c r="AS41" s="449"/>
      <c r="AT41" s="452"/>
      <c r="AU41" s="269"/>
      <c r="AV41" s="269"/>
      <c r="AW41" s="269"/>
      <c r="AX41" s="269"/>
      <c r="AY41" s="269"/>
      <c r="AZ41" s="269"/>
      <c r="BA41" s="269"/>
      <c r="BB41" s="269"/>
      <c r="BC41" s="453"/>
      <c r="BD41" s="450"/>
      <c r="BF41" s="449"/>
      <c r="BG41" s="452"/>
      <c r="BH41" s="269"/>
      <c r="BI41" s="269"/>
      <c r="BJ41" s="269"/>
      <c r="BK41" s="269"/>
      <c r="BL41" s="269"/>
      <c r="BM41" s="269"/>
      <c r="BN41" s="269"/>
      <c r="BO41" s="269"/>
      <c r="BP41" s="453"/>
      <c r="BQ41" s="450"/>
    </row>
    <row r="42" spans="1:69" ht="56.85" customHeight="1" x14ac:dyDescent="0.25">
      <c r="A42" t="s">
        <v>24</v>
      </c>
      <c r="F42" s="449"/>
      <c r="G42" s="452"/>
      <c r="H42" s="265"/>
      <c r="I42" s="266"/>
      <c r="J42" s="269"/>
      <c r="K42" s="265"/>
      <c r="L42" s="266"/>
      <c r="M42" s="269"/>
      <c r="N42" s="265"/>
      <c r="O42" s="266"/>
      <c r="P42" s="453"/>
      <c r="Q42" s="450"/>
      <c r="S42" s="449"/>
      <c r="T42" s="452"/>
      <c r="U42" s="265"/>
      <c r="V42" s="266"/>
      <c r="W42" s="269"/>
      <c r="X42" s="265"/>
      <c r="Y42" s="266"/>
      <c r="Z42" s="269"/>
      <c r="AA42" s="265"/>
      <c r="AB42" s="266"/>
      <c r="AC42" s="453"/>
      <c r="AD42" s="450"/>
      <c r="AF42" s="449"/>
      <c r="AG42" s="452"/>
      <c r="AH42" s="276"/>
      <c r="AI42" s="277"/>
      <c r="AJ42" s="278"/>
      <c r="AK42" s="276"/>
      <c r="AL42" s="277"/>
      <c r="AM42" s="278"/>
      <c r="AN42" s="276"/>
      <c r="AO42" s="277"/>
      <c r="AP42" s="453"/>
      <c r="AQ42" s="450"/>
      <c r="AS42" s="449"/>
      <c r="AT42" s="452"/>
      <c r="AU42" s="265"/>
      <c r="AV42" s="266"/>
      <c r="AW42" s="269"/>
      <c r="AX42" s="265"/>
      <c r="AY42" s="266"/>
      <c r="AZ42" s="269"/>
      <c r="BA42" s="265"/>
      <c r="BB42" s="266"/>
      <c r="BC42" s="453"/>
      <c r="BD42" s="450"/>
      <c r="BF42" s="449"/>
      <c r="BG42" s="452"/>
      <c r="BH42" s="265"/>
      <c r="BI42" s="266"/>
      <c r="BJ42" s="269"/>
      <c r="BK42" s="265"/>
      <c r="BL42" s="266"/>
      <c r="BM42" s="269"/>
      <c r="BN42" s="265"/>
      <c r="BO42" s="266"/>
      <c r="BP42" s="453"/>
      <c r="BQ42" s="450"/>
    </row>
    <row r="43" spans="1:69" ht="56.85" customHeight="1" x14ac:dyDescent="0.25">
      <c r="A43" t="s">
        <v>25</v>
      </c>
      <c r="F43" s="449"/>
      <c r="G43" s="452"/>
      <c r="H43" s="267"/>
      <c r="I43" s="268"/>
      <c r="J43" s="269"/>
      <c r="K43" s="267"/>
      <c r="L43" s="268"/>
      <c r="M43" s="269"/>
      <c r="N43" s="267"/>
      <c r="O43" s="268"/>
      <c r="P43" s="453"/>
      <c r="Q43" s="450"/>
      <c r="S43" s="449"/>
      <c r="T43" s="452"/>
      <c r="U43" s="267"/>
      <c r="V43" s="268"/>
      <c r="W43" s="269"/>
      <c r="X43" s="267"/>
      <c r="Y43" s="268"/>
      <c r="Z43" s="269"/>
      <c r="AA43" s="267"/>
      <c r="AB43" s="268"/>
      <c r="AC43" s="453"/>
      <c r="AD43" s="450"/>
      <c r="AF43" s="449"/>
      <c r="AG43" s="452"/>
      <c r="AH43" s="279"/>
      <c r="AI43" s="280"/>
      <c r="AJ43" s="278"/>
      <c r="AK43" s="279"/>
      <c r="AL43" s="280"/>
      <c r="AM43" s="278"/>
      <c r="AN43" s="279"/>
      <c r="AO43" s="280"/>
      <c r="AP43" s="453"/>
      <c r="AQ43" s="450"/>
      <c r="AS43" s="449"/>
      <c r="AT43" s="452"/>
      <c r="AU43" s="267"/>
      <c r="AV43" s="268"/>
      <c r="AW43" s="269"/>
      <c r="AX43" s="267"/>
      <c r="AY43" s="268"/>
      <c r="AZ43" s="269"/>
      <c r="BA43" s="267"/>
      <c r="BB43" s="268"/>
      <c r="BC43" s="453"/>
      <c r="BD43" s="450"/>
      <c r="BF43" s="449"/>
      <c r="BG43" s="452"/>
      <c r="BH43" s="267"/>
      <c r="BI43" s="268"/>
      <c r="BJ43" s="269"/>
      <c r="BK43" s="267"/>
      <c r="BL43" s="268"/>
      <c r="BM43" s="269"/>
      <c r="BN43" s="267"/>
      <c r="BO43" s="268"/>
      <c r="BP43" s="453"/>
      <c r="BQ43" s="450"/>
    </row>
    <row r="44" spans="1:69" x14ac:dyDescent="0.25">
      <c r="A44" t="s">
        <v>375</v>
      </c>
      <c r="F44" s="449"/>
      <c r="G44" s="263"/>
      <c r="H44" s="451"/>
      <c r="I44" s="451"/>
      <c r="J44" s="451"/>
      <c r="K44" s="451"/>
      <c r="L44" s="451"/>
      <c r="M44" s="451"/>
      <c r="N44" s="451"/>
      <c r="O44" s="451"/>
      <c r="P44" s="263"/>
      <c r="Q44" s="450"/>
      <c r="S44" s="449"/>
      <c r="T44" s="263"/>
      <c r="U44" s="451"/>
      <c r="V44" s="451"/>
      <c r="W44" s="451"/>
      <c r="X44" s="451"/>
      <c r="Y44" s="451"/>
      <c r="Z44" s="451"/>
      <c r="AA44" s="451"/>
      <c r="AB44" s="451"/>
      <c r="AC44" s="263"/>
      <c r="AD44" s="450"/>
      <c r="AF44" s="449"/>
      <c r="AG44" s="263"/>
      <c r="AH44" s="451"/>
      <c r="AI44" s="451"/>
      <c r="AJ44" s="451"/>
      <c r="AK44" s="451"/>
      <c r="AL44" s="451"/>
      <c r="AM44" s="451"/>
      <c r="AN44" s="451"/>
      <c r="AO44" s="451"/>
      <c r="AP44" s="263"/>
      <c r="AQ44" s="450"/>
      <c r="AS44" s="449"/>
      <c r="AT44" s="263"/>
      <c r="AU44" s="451"/>
      <c r="AV44" s="451"/>
      <c r="AW44" s="451"/>
      <c r="AX44" s="451"/>
      <c r="AY44" s="451"/>
      <c r="AZ44" s="451"/>
      <c r="BA44" s="451"/>
      <c r="BB44" s="451"/>
      <c r="BC44" s="263"/>
      <c r="BD44" s="450"/>
      <c r="BF44" s="449"/>
      <c r="BG44" s="263"/>
      <c r="BH44" s="451"/>
      <c r="BI44" s="451"/>
      <c r="BJ44" s="451"/>
      <c r="BK44" s="451"/>
      <c r="BL44" s="451"/>
      <c r="BM44" s="451"/>
      <c r="BN44" s="451"/>
      <c r="BO44" s="451"/>
      <c r="BP44" s="263"/>
      <c r="BQ44" s="450"/>
    </row>
    <row r="45" spans="1:69" x14ac:dyDescent="0.25">
      <c r="A45" t="s">
        <v>26</v>
      </c>
      <c r="G45" s="448" t="s">
        <v>1251</v>
      </c>
      <c r="H45" s="448"/>
      <c r="I45" s="448"/>
      <c r="J45" s="448"/>
      <c r="K45" s="448"/>
      <c r="L45" s="448"/>
      <c r="M45" s="448"/>
      <c r="N45" s="448"/>
      <c r="O45" s="448"/>
      <c r="P45" s="448"/>
      <c r="T45" s="448" t="s">
        <v>1251</v>
      </c>
      <c r="U45" s="448"/>
      <c r="V45" s="448"/>
      <c r="W45" s="448"/>
      <c r="X45" s="448"/>
      <c r="Y45" s="448"/>
      <c r="Z45" s="448"/>
      <c r="AA45" s="448"/>
      <c r="AB45" s="448"/>
      <c r="AC45" s="448"/>
      <c r="AG45" s="448" t="s">
        <v>1251</v>
      </c>
      <c r="AH45" s="448"/>
      <c r="AI45" s="448"/>
      <c r="AJ45" s="448"/>
      <c r="AK45" s="448"/>
      <c r="AL45" s="448"/>
      <c r="AM45" s="448"/>
      <c r="AN45" s="448"/>
      <c r="AO45" s="448"/>
      <c r="AP45" s="448"/>
      <c r="AT45" s="448" t="s">
        <v>1251</v>
      </c>
      <c r="AU45" s="448"/>
      <c r="AV45" s="448"/>
      <c r="AW45" s="448"/>
      <c r="AX45" s="448"/>
      <c r="AY45" s="448"/>
      <c r="AZ45" s="448"/>
      <c r="BA45" s="448"/>
      <c r="BB45" s="448"/>
      <c r="BC45" s="448"/>
      <c r="BG45" s="448" t="s">
        <v>1251</v>
      </c>
      <c r="BH45" s="448"/>
      <c r="BI45" s="448"/>
      <c r="BJ45" s="448"/>
      <c r="BK45" s="448"/>
      <c r="BL45" s="448"/>
      <c r="BM45" s="448"/>
      <c r="BN45" s="448"/>
      <c r="BO45" s="448"/>
      <c r="BP45" s="448"/>
    </row>
    <row r="46" spans="1:69" hidden="1" x14ac:dyDescent="0.25">
      <c r="A46" t="s">
        <v>27</v>
      </c>
    </row>
    <row r="47" spans="1:69" hidden="1" x14ac:dyDescent="0.25">
      <c r="A47" t="s">
        <v>376</v>
      </c>
      <c r="G47" s="448" t="s">
        <v>1251</v>
      </c>
      <c r="H47" s="448"/>
      <c r="I47" s="448"/>
      <c r="J47" s="448"/>
      <c r="K47" s="448"/>
      <c r="L47" s="448"/>
      <c r="M47" s="448"/>
      <c r="N47" s="448"/>
      <c r="O47" s="448"/>
      <c r="P47" s="448"/>
      <c r="T47" s="448" t="s">
        <v>1251</v>
      </c>
      <c r="U47" s="448"/>
      <c r="V47" s="448"/>
      <c r="W47" s="448"/>
      <c r="X47" s="448"/>
      <c r="Y47" s="448"/>
      <c r="Z47" s="448"/>
      <c r="AA47" s="448"/>
      <c r="AB47" s="448"/>
      <c r="AC47" s="448"/>
      <c r="AG47" s="448" t="s">
        <v>1251</v>
      </c>
      <c r="AH47" s="448"/>
      <c r="AI47" s="448"/>
      <c r="AJ47" s="448"/>
      <c r="AK47" s="448"/>
      <c r="AL47" s="448"/>
      <c r="AM47" s="448"/>
      <c r="AN47" s="448"/>
      <c r="AO47" s="448"/>
      <c r="AP47" s="448"/>
      <c r="AT47" s="448" t="s">
        <v>1251</v>
      </c>
      <c r="AU47" s="448"/>
      <c r="AV47" s="448"/>
      <c r="AW47" s="448"/>
      <c r="AX47" s="448"/>
      <c r="AY47" s="448"/>
      <c r="AZ47" s="448"/>
      <c r="BA47" s="448"/>
      <c r="BB47" s="448"/>
      <c r="BC47" s="448"/>
      <c r="BG47" s="448" t="s">
        <v>1251</v>
      </c>
      <c r="BH47" s="448"/>
      <c r="BI47" s="448"/>
      <c r="BJ47" s="448"/>
      <c r="BK47" s="448"/>
      <c r="BL47" s="448"/>
      <c r="BM47" s="448"/>
      <c r="BN47" s="448"/>
      <c r="BO47" s="448"/>
      <c r="BP47" s="448"/>
    </row>
    <row r="48" spans="1:69" hidden="1" x14ac:dyDescent="0.25">
      <c r="A48" t="s">
        <v>28</v>
      </c>
      <c r="F48" s="449" t="s">
        <v>1251</v>
      </c>
      <c r="G48" s="263"/>
      <c r="H48" s="451"/>
      <c r="I48" s="451"/>
      <c r="J48" s="451"/>
      <c r="K48" s="451"/>
      <c r="L48" s="451"/>
      <c r="M48" s="451"/>
      <c r="N48" s="451"/>
      <c r="O48" s="451"/>
      <c r="P48" s="263"/>
      <c r="Q48" s="450" t="s">
        <v>1251</v>
      </c>
      <c r="S48" s="449" t="s">
        <v>1251</v>
      </c>
      <c r="T48" s="263"/>
      <c r="U48" s="451"/>
      <c r="V48" s="451"/>
      <c r="W48" s="451"/>
      <c r="X48" s="451"/>
      <c r="Y48" s="451"/>
      <c r="Z48" s="451"/>
      <c r="AA48" s="451"/>
      <c r="AB48" s="451"/>
      <c r="AC48" s="263"/>
      <c r="AD48" s="450" t="s">
        <v>1251</v>
      </c>
      <c r="AF48" s="449" t="s">
        <v>1251</v>
      </c>
      <c r="AG48" s="263"/>
      <c r="AH48" s="451"/>
      <c r="AI48" s="451"/>
      <c r="AJ48" s="451"/>
      <c r="AK48" s="451"/>
      <c r="AL48" s="451"/>
      <c r="AM48" s="451"/>
      <c r="AN48" s="451"/>
      <c r="AO48" s="451"/>
      <c r="AP48" s="263"/>
      <c r="AQ48" s="450" t="s">
        <v>1251</v>
      </c>
      <c r="AS48" s="449" t="s">
        <v>1251</v>
      </c>
      <c r="AT48" s="263"/>
      <c r="AU48" s="451"/>
      <c r="AV48" s="451"/>
      <c r="AW48" s="451"/>
      <c r="AX48" s="451"/>
      <c r="AY48" s="451"/>
      <c r="AZ48" s="451"/>
      <c r="BA48" s="451"/>
      <c r="BB48" s="451"/>
      <c r="BC48" s="263"/>
      <c r="BD48" s="450" t="s">
        <v>1251</v>
      </c>
      <c r="BF48" s="449" t="s">
        <v>1251</v>
      </c>
      <c r="BG48" s="263"/>
      <c r="BH48" s="451"/>
      <c r="BI48" s="451"/>
      <c r="BJ48" s="451"/>
      <c r="BK48" s="451"/>
      <c r="BL48" s="451"/>
      <c r="BM48" s="451"/>
      <c r="BN48" s="451"/>
      <c r="BO48" s="451"/>
      <c r="BP48" s="263"/>
      <c r="BQ48" s="450" t="s">
        <v>1251</v>
      </c>
    </row>
    <row r="49" spans="1:69" ht="56.85" hidden="1" customHeight="1" x14ac:dyDescent="0.25">
      <c r="A49" t="s">
        <v>1248</v>
      </c>
      <c r="F49" s="449"/>
      <c r="G49" s="452"/>
      <c r="H49" s="265"/>
      <c r="I49" s="266"/>
      <c r="J49" s="269"/>
      <c r="K49" s="265"/>
      <c r="L49" s="266"/>
      <c r="M49" s="269"/>
      <c r="N49" s="265"/>
      <c r="O49" s="266"/>
      <c r="P49" s="453"/>
      <c r="Q49" s="450"/>
      <c r="S49" s="449"/>
      <c r="T49" s="452"/>
      <c r="U49" s="265"/>
      <c r="V49" s="266"/>
      <c r="W49" s="269"/>
      <c r="X49" s="265"/>
      <c r="Y49" s="266"/>
      <c r="Z49" s="269"/>
      <c r="AA49" s="265"/>
      <c r="AB49" s="266"/>
      <c r="AC49" s="453"/>
      <c r="AD49" s="450"/>
      <c r="AF49" s="449"/>
      <c r="AG49" s="452"/>
      <c r="AH49" s="265"/>
      <c r="AI49" s="266"/>
      <c r="AJ49" s="269"/>
      <c r="AK49" s="265"/>
      <c r="AL49" s="266"/>
      <c r="AM49" s="269"/>
      <c r="AN49" s="265"/>
      <c r="AO49" s="266"/>
      <c r="AP49" s="453"/>
      <c r="AQ49" s="450"/>
      <c r="AS49" s="449"/>
      <c r="AT49" s="452"/>
      <c r="AU49" s="265"/>
      <c r="AV49" s="266"/>
      <c r="AW49" s="269"/>
      <c r="AX49" s="265"/>
      <c r="AY49" s="266"/>
      <c r="AZ49" s="269"/>
      <c r="BA49" s="265"/>
      <c r="BB49" s="266"/>
      <c r="BC49" s="453"/>
      <c r="BD49" s="450"/>
      <c r="BF49" s="449"/>
      <c r="BG49" s="452"/>
      <c r="BH49" s="265"/>
      <c r="BI49" s="266"/>
      <c r="BJ49" s="269"/>
      <c r="BK49" s="265"/>
      <c r="BL49" s="266"/>
      <c r="BM49" s="269"/>
      <c r="BN49" s="265"/>
      <c r="BO49" s="266"/>
      <c r="BP49" s="453"/>
      <c r="BQ49" s="450"/>
    </row>
    <row r="50" spans="1:69" ht="56.85" hidden="1" customHeight="1" x14ac:dyDescent="0.25">
      <c r="A50" t="s">
        <v>29</v>
      </c>
      <c r="F50" s="449"/>
      <c r="G50" s="452"/>
      <c r="H50" s="267"/>
      <c r="I50" s="268"/>
      <c r="J50" s="269"/>
      <c r="K50" s="267"/>
      <c r="L50" s="268"/>
      <c r="M50" s="269"/>
      <c r="N50" s="267"/>
      <c r="O50" s="268"/>
      <c r="P50" s="453"/>
      <c r="Q50" s="450"/>
      <c r="S50" s="449"/>
      <c r="T50" s="452"/>
      <c r="U50" s="267"/>
      <c r="V50" s="268"/>
      <c r="W50" s="269"/>
      <c r="X50" s="267"/>
      <c r="Y50" s="268"/>
      <c r="Z50" s="269"/>
      <c r="AA50" s="267"/>
      <c r="AB50" s="268"/>
      <c r="AC50" s="453"/>
      <c r="AD50" s="450"/>
      <c r="AF50" s="449"/>
      <c r="AG50" s="452"/>
      <c r="AH50" s="267"/>
      <c r="AI50" s="268"/>
      <c r="AJ50" s="269"/>
      <c r="AK50" s="267"/>
      <c r="AL50" s="268"/>
      <c r="AM50" s="269"/>
      <c r="AN50" s="267"/>
      <c r="AO50" s="268"/>
      <c r="AP50" s="453"/>
      <c r="AQ50" s="450"/>
      <c r="AS50" s="449"/>
      <c r="AT50" s="452"/>
      <c r="AU50" s="267"/>
      <c r="AV50" s="268"/>
      <c r="AW50" s="269"/>
      <c r="AX50" s="267"/>
      <c r="AY50" s="268"/>
      <c r="AZ50" s="269"/>
      <c r="BA50" s="267"/>
      <c r="BB50" s="268"/>
      <c r="BC50" s="453"/>
      <c r="BD50" s="450"/>
      <c r="BF50" s="449"/>
      <c r="BG50" s="452"/>
      <c r="BH50" s="267"/>
      <c r="BI50" s="268"/>
      <c r="BJ50" s="269"/>
      <c r="BK50" s="267"/>
      <c r="BL50" s="268"/>
      <c r="BM50" s="269"/>
      <c r="BN50" s="267"/>
      <c r="BO50" s="268"/>
      <c r="BP50" s="453"/>
      <c r="BQ50" s="450"/>
    </row>
    <row r="51" spans="1:69" hidden="1" x14ac:dyDescent="0.25">
      <c r="A51" t="s">
        <v>30</v>
      </c>
      <c r="F51" s="449"/>
      <c r="G51" s="452"/>
      <c r="H51" s="269"/>
      <c r="I51" s="269"/>
      <c r="J51" s="269"/>
      <c r="K51" s="269"/>
      <c r="L51" s="269"/>
      <c r="M51" s="269"/>
      <c r="N51" s="269"/>
      <c r="O51" s="269"/>
      <c r="P51" s="453"/>
      <c r="Q51" s="450"/>
      <c r="S51" s="449"/>
      <c r="T51" s="452"/>
      <c r="U51" s="269"/>
      <c r="V51" s="269"/>
      <c r="W51" s="269"/>
      <c r="X51" s="269"/>
      <c r="Y51" s="269"/>
      <c r="Z51" s="269"/>
      <c r="AA51" s="269"/>
      <c r="AB51" s="269"/>
      <c r="AC51" s="453"/>
      <c r="AD51" s="450"/>
      <c r="AF51" s="449"/>
      <c r="AG51" s="452"/>
      <c r="AH51" s="269"/>
      <c r="AI51" s="269"/>
      <c r="AJ51" s="269"/>
      <c r="AK51" s="269"/>
      <c r="AL51" s="269"/>
      <c r="AM51" s="269"/>
      <c r="AN51" s="269"/>
      <c r="AO51" s="269"/>
      <c r="AP51" s="453"/>
      <c r="AQ51" s="450"/>
      <c r="AS51" s="449"/>
      <c r="AT51" s="452"/>
      <c r="AU51" s="269"/>
      <c r="AV51" s="269"/>
      <c r="AW51" s="269"/>
      <c r="AX51" s="269"/>
      <c r="AY51" s="269"/>
      <c r="AZ51" s="269"/>
      <c r="BA51" s="269"/>
      <c r="BB51" s="269"/>
      <c r="BC51" s="453"/>
      <c r="BD51" s="450"/>
      <c r="BF51" s="449"/>
      <c r="BG51" s="452"/>
      <c r="BH51" s="269"/>
      <c r="BI51" s="269"/>
      <c r="BJ51" s="269"/>
      <c r="BK51" s="269"/>
      <c r="BL51" s="269"/>
      <c r="BM51" s="269"/>
      <c r="BN51" s="269"/>
      <c r="BO51" s="269"/>
      <c r="BP51" s="453"/>
      <c r="BQ51" s="450"/>
    </row>
    <row r="52" spans="1:69" ht="56.85" hidden="1" customHeight="1" x14ac:dyDescent="0.25">
      <c r="A52" t="s">
        <v>31</v>
      </c>
      <c r="F52" s="449"/>
      <c r="G52" s="452"/>
      <c r="H52" s="265"/>
      <c r="I52" s="266"/>
      <c r="J52" s="269"/>
      <c r="K52" s="265"/>
      <c r="L52" s="266"/>
      <c r="M52" s="269"/>
      <c r="N52" s="265"/>
      <c r="O52" s="266"/>
      <c r="P52" s="453"/>
      <c r="Q52" s="450"/>
      <c r="S52" s="449"/>
      <c r="T52" s="452"/>
      <c r="U52" s="265"/>
      <c r="V52" s="266"/>
      <c r="W52" s="269"/>
      <c r="X52" s="265"/>
      <c r="Y52" s="266"/>
      <c r="Z52" s="269"/>
      <c r="AA52" s="265"/>
      <c r="AB52" s="266"/>
      <c r="AC52" s="453"/>
      <c r="AD52" s="450"/>
      <c r="AF52" s="449"/>
      <c r="AG52" s="452"/>
      <c r="AH52" s="265"/>
      <c r="AI52" s="266"/>
      <c r="AJ52" s="269"/>
      <c r="AK52" s="265"/>
      <c r="AL52" s="266"/>
      <c r="AM52" s="269"/>
      <c r="AN52" s="265"/>
      <c r="AO52" s="266"/>
      <c r="AP52" s="453"/>
      <c r="AQ52" s="450"/>
      <c r="AS52" s="449"/>
      <c r="AT52" s="452"/>
      <c r="AU52" s="265"/>
      <c r="AV52" s="266"/>
      <c r="AW52" s="269"/>
      <c r="AX52" s="265"/>
      <c r="AY52" s="266"/>
      <c r="AZ52" s="269"/>
      <c r="BA52" s="265"/>
      <c r="BB52" s="266"/>
      <c r="BC52" s="453"/>
      <c r="BD52" s="450"/>
      <c r="BF52" s="449"/>
      <c r="BG52" s="452"/>
      <c r="BH52" s="265"/>
      <c r="BI52" s="266"/>
      <c r="BJ52" s="269"/>
      <c r="BK52" s="265"/>
      <c r="BL52" s="266"/>
      <c r="BM52" s="269"/>
      <c r="BN52" s="265"/>
      <c r="BO52" s="266"/>
      <c r="BP52" s="453"/>
      <c r="BQ52" s="450"/>
    </row>
    <row r="53" spans="1:69" ht="56.85" hidden="1" customHeight="1" x14ac:dyDescent="0.25">
      <c r="A53" t="s">
        <v>32</v>
      </c>
      <c r="F53" s="449"/>
      <c r="G53" s="452"/>
      <c r="H53" s="267"/>
      <c r="I53" s="268"/>
      <c r="J53" s="269"/>
      <c r="K53" s="267"/>
      <c r="L53" s="268"/>
      <c r="M53" s="269"/>
      <c r="N53" s="267"/>
      <c r="O53" s="268"/>
      <c r="P53" s="453"/>
      <c r="Q53" s="450"/>
      <c r="S53" s="449"/>
      <c r="T53" s="452"/>
      <c r="U53" s="267"/>
      <c r="V53" s="268"/>
      <c r="W53" s="269"/>
      <c r="X53" s="267"/>
      <c r="Y53" s="268"/>
      <c r="Z53" s="269"/>
      <c r="AA53" s="267"/>
      <c r="AB53" s="268"/>
      <c r="AC53" s="453"/>
      <c r="AD53" s="450"/>
      <c r="AF53" s="449"/>
      <c r="AG53" s="452"/>
      <c r="AH53" s="267"/>
      <c r="AI53" s="268"/>
      <c r="AJ53" s="269"/>
      <c r="AK53" s="267"/>
      <c r="AL53" s="268"/>
      <c r="AM53" s="269"/>
      <c r="AN53" s="267"/>
      <c r="AO53" s="268"/>
      <c r="AP53" s="453"/>
      <c r="AQ53" s="450"/>
      <c r="AS53" s="449"/>
      <c r="AT53" s="452"/>
      <c r="AU53" s="267"/>
      <c r="AV53" s="268"/>
      <c r="AW53" s="269"/>
      <c r="AX53" s="267"/>
      <c r="AY53" s="268"/>
      <c r="AZ53" s="269"/>
      <c r="BA53" s="267"/>
      <c r="BB53" s="268"/>
      <c r="BC53" s="453"/>
      <c r="BD53" s="450"/>
      <c r="BF53" s="449"/>
      <c r="BG53" s="452"/>
      <c r="BH53" s="267"/>
      <c r="BI53" s="268"/>
      <c r="BJ53" s="269"/>
      <c r="BK53" s="267"/>
      <c r="BL53" s="268"/>
      <c r="BM53" s="269"/>
      <c r="BN53" s="267"/>
      <c r="BO53" s="268"/>
      <c r="BP53" s="453"/>
      <c r="BQ53" s="450"/>
    </row>
    <row r="54" spans="1:69" hidden="1" x14ac:dyDescent="0.25">
      <c r="A54" t="s">
        <v>33</v>
      </c>
      <c r="F54" s="449"/>
      <c r="G54" s="452"/>
      <c r="H54" s="269"/>
      <c r="I54" s="269"/>
      <c r="J54" s="269"/>
      <c r="K54" s="269"/>
      <c r="L54" s="269"/>
      <c r="M54" s="269"/>
      <c r="N54" s="269"/>
      <c r="O54" s="269"/>
      <c r="P54" s="453"/>
      <c r="Q54" s="450"/>
      <c r="S54" s="449"/>
      <c r="T54" s="452"/>
      <c r="U54" s="269"/>
      <c r="V54" s="269"/>
      <c r="W54" s="269"/>
      <c r="X54" s="269"/>
      <c r="Y54" s="269"/>
      <c r="Z54" s="269"/>
      <c r="AA54" s="269"/>
      <c r="AB54" s="269"/>
      <c r="AC54" s="453"/>
      <c r="AD54" s="450"/>
      <c r="AF54" s="449"/>
      <c r="AG54" s="452"/>
      <c r="AH54" s="269"/>
      <c r="AI54" s="269"/>
      <c r="AJ54" s="269"/>
      <c r="AK54" s="269"/>
      <c r="AL54" s="269"/>
      <c r="AM54" s="269"/>
      <c r="AN54" s="269"/>
      <c r="AO54" s="269"/>
      <c r="AP54" s="453"/>
      <c r="AQ54" s="450"/>
      <c r="AS54" s="449"/>
      <c r="AT54" s="452"/>
      <c r="AU54" s="269"/>
      <c r="AV54" s="269"/>
      <c r="AW54" s="269"/>
      <c r="AX54" s="269"/>
      <c r="AY54" s="269"/>
      <c r="AZ54" s="269"/>
      <c r="BA54" s="269"/>
      <c r="BB54" s="269"/>
      <c r="BC54" s="453"/>
      <c r="BD54" s="450"/>
      <c r="BF54" s="449"/>
      <c r="BG54" s="452"/>
      <c r="BH54" s="269"/>
      <c r="BI54" s="269"/>
      <c r="BJ54" s="269"/>
      <c r="BK54" s="269"/>
      <c r="BL54" s="269"/>
      <c r="BM54" s="269"/>
      <c r="BN54" s="269"/>
      <c r="BO54" s="269"/>
      <c r="BP54" s="453"/>
      <c r="BQ54" s="450"/>
    </row>
    <row r="55" spans="1:69" ht="56.85" hidden="1" customHeight="1" x14ac:dyDescent="0.25">
      <c r="A55" t="s">
        <v>34</v>
      </c>
      <c r="F55" s="449"/>
      <c r="G55" s="452"/>
      <c r="H55" s="265"/>
      <c r="I55" s="266"/>
      <c r="J55" s="269"/>
      <c r="K55" s="265"/>
      <c r="L55" s="266"/>
      <c r="M55" s="269"/>
      <c r="N55" s="265"/>
      <c r="O55" s="266"/>
      <c r="P55" s="453"/>
      <c r="Q55" s="450"/>
      <c r="S55" s="449"/>
      <c r="T55" s="452"/>
      <c r="U55" s="265"/>
      <c r="V55" s="266"/>
      <c r="W55" s="269"/>
      <c r="X55" s="265"/>
      <c r="Y55" s="266"/>
      <c r="Z55" s="269"/>
      <c r="AA55" s="265"/>
      <c r="AB55" s="266"/>
      <c r="AC55" s="453"/>
      <c r="AD55" s="450"/>
      <c r="AF55" s="449"/>
      <c r="AG55" s="452"/>
      <c r="AH55" s="265"/>
      <c r="AI55" s="266"/>
      <c r="AJ55" s="269"/>
      <c r="AK55" s="265"/>
      <c r="AL55" s="266"/>
      <c r="AM55" s="269"/>
      <c r="AN55" s="265"/>
      <c r="AO55" s="266"/>
      <c r="AP55" s="453"/>
      <c r="AQ55" s="450"/>
      <c r="AS55" s="449"/>
      <c r="AT55" s="452"/>
      <c r="AU55" s="265"/>
      <c r="AV55" s="266"/>
      <c r="AW55" s="269"/>
      <c r="AX55" s="265"/>
      <c r="AY55" s="266"/>
      <c r="AZ55" s="269"/>
      <c r="BA55" s="265"/>
      <c r="BB55" s="266"/>
      <c r="BC55" s="453"/>
      <c r="BD55" s="450"/>
      <c r="BF55" s="449"/>
      <c r="BG55" s="452"/>
      <c r="BH55" s="265"/>
      <c r="BI55" s="266"/>
      <c r="BJ55" s="269"/>
      <c r="BK55" s="265"/>
      <c r="BL55" s="266"/>
      <c r="BM55" s="269"/>
      <c r="BN55" s="265"/>
      <c r="BO55" s="266"/>
      <c r="BP55" s="453"/>
      <c r="BQ55" s="450"/>
    </row>
    <row r="56" spans="1:69" ht="56.85" hidden="1" customHeight="1" x14ac:dyDescent="0.25">
      <c r="A56" t="s">
        <v>35</v>
      </c>
      <c r="F56" s="449"/>
      <c r="G56" s="452"/>
      <c r="H56" s="267"/>
      <c r="I56" s="268"/>
      <c r="J56" s="269"/>
      <c r="K56" s="267"/>
      <c r="L56" s="268"/>
      <c r="M56" s="269"/>
      <c r="N56" s="267"/>
      <c r="O56" s="268"/>
      <c r="P56" s="453"/>
      <c r="Q56" s="450"/>
      <c r="S56" s="449"/>
      <c r="T56" s="452"/>
      <c r="U56" s="267"/>
      <c r="V56" s="268"/>
      <c r="W56" s="269"/>
      <c r="X56" s="267"/>
      <c r="Y56" s="268"/>
      <c r="Z56" s="269"/>
      <c r="AA56" s="267"/>
      <c r="AB56" s="268"/>
      <c r="AC56" s="453"/>
      <c r="AD56" s="450"/>
      <c r="AF56" s="449"/>
      <c r="AG56" s="452"/>
      <c r="AH56" s="267"/>
      <c r="AI56" s="268"/>
      <c r="AJ56" s="269"/>
      <c r="AK56" s="267"/>
      <c r="AL56" s="268"/>
      <c r="AM56" s="269"/>
      <c r="AN56" s="267"/>
      <c r="AO56" s="268"/>
      <c r="AP56" s="453"/>
      <c r="AQ56" s="450"/>
      <c r="AS56" s="449"/>
      <c r="AT56" s="452"/>
      <c r="AU56" s="267"/>
      <c r="AV56" s="268"/>
      <c r="AW56" s="269"/>
      <c r="AX56" s="267"/>
      <c r="AY56" s="268"/>
      <c r="AZ56" s="269"/>
      <c r="BA56" s="267"/>
      <c r="BB56" s="268"/>
      <c r="BC56" s="453"/>
      <c r="BD56" s="450"/>
      <c r="BF56" s="449"/>
      <c r="BG56" s="452"/>
      <c r="BH56" s="267"/>
      <c r="BI56" s="268"/>
      <c r="BJ56" s="269"/>
      <c r="BK56" s="267"/>
      <c r="BL56" s="268"/>
      <c r="BM56" s="269"/>
      <c r="BN56" s="267"/>
      <c r="BO56" s="268"/>
      <c r="BP56" s="453"/>
      <c r="BQ56" s="450"/>
    </row>
    <row r="57" spans="1:69" hidden="1" x14ac:dyDescent="0.25">
      <c r="A57" t="s">
        <v>36</v>
      </c>
      <c r="F57" s="449"/>
      <c r="G57" s="263"/>
      <c r="H57" s="451"/>
      <c r="I57" s="451"/>
      <c r="J57" s="451"/>
      <c r="K57" s="451"/>
      <c r="L57" s="451"/>
      <c r="M57" s="451"/>
      <c r="N57" s="451"/>
      <c r="O57" s="451"/>
      <c r="P57" s="263"/>
      <c r="Q57" s="450"/>
      <c r="S57" s="449"/>
      <c r="T57" s="263"/>
      <c r="U57" s="451"/>
      <c r="V57" s="451"/>
      <c r="W57" s="451"/>
      <c r="X57" s="451"/>
      <c r="Y57" s="451"/>
      <c r="Z57" s="451"/>
      <c r="AA57" s="451"/>
      <c r="AB57" s="451"/>
      <c r="AC57" s="263"/>
      <c r="AD57" s="450"/>
      <c r="AF57" s="449"/>
      <c r="AG57" s="263"/>
      <c r="AH57" s="451"/>
      <c r="AI57" s="451"/>
      <c r="AJ57" s="451"/>
      <c r="AK57" s="451"/>
      <c r="AL57" s="451"/>
      <c r="AM57" s="451"/>
      <c r="AN57" s="451"/>
      <c r="AO57" s="451"/>
      <c r="AP57" s="263"/>
      <c r="AQ57" s="450"/>
      <c r="AS57" s="449"/>
      <c r="AT57" s="263"/>
      <c r="AU57" s="451"/>
      <c r="AV57" s="451"/>
      <c r="AW57" s="451"/>
      <c r="AX57" s="451"/>
      <c r="AY57" s="451"/>
      <c r="AZ57" s="451"/>
      <c r="BA57" s="451"/>
      <c r="BB57" s="451"/>
      <c r="BC57" s="263"/>
      <c r="BD57" s="450"/>
      <c r="BF57" s="449"/>
      <c r="BG57" s="263"/>
      <c r="BH57" s="451"/>
      <c r="BI57" s="451"/>
      <c r="BJ57" s="451"/>
      <c r="BK57" s="451"/>
      <c r="BL57" s="451"/>
      <c r="BM57" s="451"/>
      <c r="BN57" s="451"/>
      <c r="BO57" s="451"/>
      <c r="BP57" s="263"/>
      <c r="BQ57" s="450"/>
    </row>
    <row r="58" spans="1:69" hidden="1" x14ac:dyDescent="0.25">
      <c r="A58" t="s">
        <v>37</v>
      </c>
      <c r="G58" s="448" t="s">
        <v>1251</v>
      </c>
      <c r="H58" s="448"/>
      <c r="I58" s="448"/>
      <c r="J58" s="448"/>
      <c r="K58" s="448"/>
      <c r="L58" s="448"/>
      <c r="M58" s="448"/>
      <c r="N58" s="448"/>
      <c r="O58" s="448"/>
      <c r="P58" s="448"/>
      <c r="T58" s="448" t="s">
        <v>1251</v>
      </c>
      <c r="U58" s="448"/>
      <c r="V58" s="448"/>
      <c r="W58" s="448"/>
      <c r="X58" s="448"/>
      <c r="Y58" s="448"/>
      <c r="Z58" s="448"/>
      <c r="AA58" s="448"/>
      <c r="AB58" s="448"/>
      <c r="AC58" s="448"/>
      <c r="AG58" s="448" t="s">
        <v>1251</v>
      </c>
      <c r="AH58" s="448"/>
      <c r="AI58" s="448"/>
      <c r="AJ58" s="448"/>
      <c r="AK58" s="448"/>
      <c r="AL58" s="448"/>
      <c r="AM58" s="448"/>
      <c r="AN58" s="448"/>
      <c r="AO58" s="448"/>
      <c r="AP58" s="448"/>
      <c r="AT58" s="448" t="s">
        <v>1251</v>
      </c>
      <c r="AU58" s="448"/>
      <c r="AV58" s="448"/>
      <c r="AW58" s="448"/>
      <c r="AX58" s="448"/>
      <c r="AY58" s="448"/>
      <c r="AZ58" s="448"/>
      <c r="BA58" s="448"/>
      <c r="BB58" s="448"/>
      <c r="BC58" s="448"/>
      <c r="BG58" s="448" t="s">
        <v>1251</v>
      </c>
      <c r="BH58" s="448"/>
      <c r="BI58" s="448"/>
      <c r="BJ58" s="448"/>
      <c r="BK58" s="448"/>
      <c r="BL58" s="448"/>
      <c r="BM58" s="448"/>
      <c r="BN58" s="448"/>
      <c r="BO58" s="448"/>
      <c r="BP58" s="448"/>
    </row>
    <row r="59" spans="1:69" hidden="1" x14ac:dyDescent="0.25">
      <c r="A59" t="s">
        <v>38</v>
      </c>
    </row>
    <row r="60" spans="1:69" hidden="1" x14ac:dyDescent="0.25">
      <c r="A60" t="s">
        <v>39</v>
      </c>
      <c r="G60" s="448" t="s">
        <v>1251</v>
      </c>
      <c r="H60" s="448"/>
      <c r="I60" s="448"/>
      <c r="J60" s="448"/>
      <c r="K60" s="448"/>
      <c r="L60" s="448"/>
      <c r="M60" s="448"/>
      <c r="N60" s="448"/>
      <c r="O60" s="448"/>
      <c r="P60" s="448"/>
      <c r="T60" s="448" t="s">
        <v>1251</v>
      </c>
      <c r="U60" s="448"/>
      <c r="V60" s="448"/>
      <c r="W60" s="448"/>
      <c r="X60" s="448"/>
      <c r="Y60" s="448"/>
      <c r="Z60" s="448"/>
      <c r="AA60" s="448"/>
      <c r="AB60" s="448"/>
      <c r="AC60" s="448"/>
      <c r="AG60" s="448" t="s">
        <v>1251</v>
      </c>
      <c r="AH60" s="448"/>
      <c r="AI60" s="448"/>
      <c r="AJ60" s="448"/>
      <c r="AK60" s="448"/>
      <c r="AL60" s="448"/>
      <c r="AM60" s="448"/>
      <c r="AN60" s="448"/>
      <c r="AO60" s="448"/>
      <c r="AP60" s="448"/>
      <c r="AT60" s="448" t="s">
        <v>1251</v>
      </c>
      <c r="AU60" s="448"/>
      <c r="AV60" s="448"/>
      <c r="AW60" s="448"/>
      <c r="AX60" s="448"/>
      <c r="AY60" s="448"/>
      <c r="AZ60" s="448"/>
      <c r="BA60" s="448"/>
      <c r="BB60" s="448"/>
      <c r="BC60" s="448"/>
      <c r="BG60" s="448" t="s">
        <v>1251</v>
      </c>
      <c r="BH60" s="448"/>
      <c r="BI60" s="448"/>
      <c r="BJ60" s="448"/>
      <c r="BK60" s="448"/>
      <c r="BL60" s="448"/>
      <c r="BM60" s="448"/>
      <c r="BN60" s="448"/>
      <c r="BO60" s="448"/>
      <c r="BP60" s="448"/>
    </row>
    <row r="61" spans="1:69" hidden="1" x14ac:dyDescent="0.25">
      <c r="A61" t="s">
        <v>40</v>
      </c>
      <c r="F61" s="449" t="s">
        <v>1251</v>
      </c>
      <c r="G61" s="263"/>
      <c r="H61" s="451"/>
      <c r="I61" s="451"/>
      <c r="J61" s="451"/>
      <c r="K61" s="451"/>
      <c r="L61" s="451"/>
      <c r="M61" s="451"/>
      <c r="N61" s="451"/>
      <c r="O61" s="451"/>
      <c r="P61" s="263"/>
      <c r="Q61" s="450" t="s">
        <v>1251</v>
      </c>
      <c r="S61" s="449" t="s">
        <v>1251</v>
      </c>
      <c r="T61" s="263"/>
      <c r="U61" s="451"/>
      <c r="V61" s="451"/>
      <c r="W61" s="451"/>
      <c r="X61" s="451"/>
      <c r="Y61" s="451"/>
      <c r="Z61" s="451"/>
      <c r="AA61" s="451"/>
      <c r="AB61" s="451"/>
      <c r="AC61" s="263"/>
      <c r="AD61" s="450" t="s">
        <v>1251</v>
      </c>
      <c r="AF61" s="449" t="s">
        <v>1251</v>
      </c>
      <c r="AG61" s="263"/>
      <c r="AH61" s="451"/>
      <c r="AI61" s="451"/>
      <c r="AJ61" s="451"/>
      <c r="AK61" s="451"/>
      <c r="AL61" s="451"/>
      <c r="AM61" s="451"/>
      <c r="AN61" s="451"/>
      <c r="AO61" s="451"/>
      <c r="AP61" s="263"/>
      <c r="AQ61" s="450" t="s">
        <v>1251</v>
      </c>
      <c r="AS61" s="449" t="s">
        <v>1251</v>
      </c>
      <c r="AT61" s="263"/>
      <c r="AU61" s="451"/>
      <c r="AV61" s="451"/>
      <c r="AW61" s="451"/>
      <c r="AX61" s="451"/>
      <c r="AY61" s="451"/>
      <c r="AZ61" s="451"/>
      <c r="BA61" s="451"/>
      <c r="BB61" s="451"/>
      <c r="BC61" s="263"/>
      <c r="BD61" s="450" t="s">
        <v>1251</v>
      </c>
      <c r="BF61" s="449" t="s">
        <v>1251</v>
      </c>
      <c r="BG61" s="263"/>
      <c r="BH61" s="451"/>
      <c r="BI61" s="451"/>
      <c r="BJ61" s="451"/>
      <c r="BK61" s="451"/>
      <c r="BL61" s="451"/>
      <c r="BM61" s="451"/>
      <c r="BN61" s="451"/>
      <c r="BO61" s="451"/>
      <c r="BP61" s="263"/>
      <c r="BQ61" s="450" t="s">
        <v>1251</v>
      </c>
    </row>
    <row r="62" spans="1:69" ht="56.85" hidden="1" customHeight="1" x14ac:dyDescent="0.25">
      <c r="A62" t="s">
        <v>41</v>
      </c>
      <c r="F62" s="449"/>
      <c r="G62" s="452"/>
      <c r="H62" s="265"/>
      <c r="I62" s="266"/>
      <c r="J62" s="269"/>
      <c r="K62" s="265"/>
      <c r="L62" s="266"/>
      <c r="M62" s="269"/>
      <c r="N62" s="265"/>
      <c r="O62" s="266"/>
      <c r="P62" s="453"/>
      <c r="Q62" s="450"/>
      <c r="S62" s="449"/>
      <c r="T62" s="452"/>
      <c r="U62" s="265"/>
      <c r="V62" s="266"/>
      <c r="W62" s="269"/>
      <c r="X62" s="265"/>
      <c r="Y62" s="266"/>
      <c r="Z62" s="269"/>
      <c r="AA62" s="265"/>
      <c r="AB62" s="266"/>
      <c r="AC62" s="453"/>
      <c r="AD62" s="450"/>
      <c r="AF62" s="449"/>
      <c r="AG62" s="452"/>
      <c r="AH62" s="265"/>
      <c r="AI62" s="266"/>
      <c r="AJ62" s="269"/>
      <c r="AK62" s="265"/>
      <c r="AL62" s="266"/>
      <c r="AM62" s="269"/>
      <c r="AN62" s="265"/>
      <c r="AO62" s="266"/>
      <c r="AP62" s="453"/>
      <c r="AQ62" s="450"/>
      <c r="AS62" s="449"/>
      <c r="AT62" s="452"/>
      <c r="AU62" s="265"/>
      <c r="AV62" s="266"/>
      <c r="AW62" s="269"/>
      <c r="AX62" s="265"/>
      <c r="AY62" s="266"/>
      <c r="AZ62" s="269"/>
      <c r="BA62" s="265"/>
      <c r="BB62" s="266"/>
      <c r="BC62" s="453"/>
      <c r="BD62" s="450"/>
      <c r="BF62" s="449"/>
      <c r="BG62" s="452"/>
      <c r="BH62" s="265"/>
      <c r="BI62" s="266"/>
      <c r="BJ62" s="269"/>
      <c r="BK62" s="265"/>
      <c r="BL62" s="266"/>
      <c r="BM62" s="269"/>
      <c r="BN62" s="265"/>
      <c r="BO62" s="266"/>
      <c r="BP62" s="453"/>
      <c r="BQ62" s="450"/>
    </row>
    <row r="63" spans="1:69" ht="56.85" hidden="1" customHeight="1" x14ac:dyDescent="0.25">
      <c r="A63" t="s">
        <v>42</v>
      </c>
      <c r="F63" s="449"/>
      <c r="G63" s="452"/>
      <c r="H63" s="267"/>
      <c r="I63" s="268"/>
      <c r="J63" s="269"/>
      <c r="K63" s="267"/>
      <c r="L63" s="268"/>
      <c r="M63" s="269"/>
      <c r="N63" s="267"/>
      <c r="O63" s="268"/>
      <c r="P63" s="453"/>
      <c r="Q63" s="450"/>
      <c r="S63" s="449"/>
      <c r="T63" s="452"/>
      <c r="U63" s="267"/>
      <c r="V63" s="268"/>
      <c r="W63" s="269"/>
      <c r="X63" s="267"/>
      <c r="Y63" s="268"/>
      <c r="Z63" s="269"/>
      <c r="AA63" s="267"/>
      <c r="AB63" s="268"/>
      <c r="AC63" s="453"/>
      <c r="AD63" s="450"/>
      <c r="AF63" s="449"/>
      <c r="AG63" s="452"/>
      <c r="AH63" s="267"/>
      <c r="AI63" s="268"/>
      <c r="AJ63" s="269"/>
      <c r="AK63" s="267"/>
      <c r="AL63" s="268"/>
      <c r="AM63" s="269"/>
      <c r="AN63" s="267"/>
      <c r="AO63" s="268"/>
      <c r="AP63" s="453"/>
      <c r="AQ63" s="450"/>
      <c r="AS63" s="449"/>
      <c r="AT63" s="452"/>
      <c r="AU63" s="267"/>
      <c r="AV63" s="268"/>
      <c r="AW63" s="269"/>
      <c r="AX63" s="267"/>
      <c r="AY63" s="268"/>
      <c r="AZ63" s="269"/>
      <c r="BA63" s="267"/>
      <c r="BB63" s="268"/>
      <c r="BC63" s="453"/>
      <c r="BD63" s="450"/>
      <c r="BF63" s="449"/>
      <c r="BG63" s="452"/>
      <c r="BH63" s="267"/>
      <c r="BI63" s="268"/>
      <c r="BJ63" s="269"/>
      <c r="BK63" s="267"/>
      <c r="BL63" s="268"/>
      <c r="BM63" s="269"/>
      <c r="BN63" s="267"/>
      <c r="BO63" s="268"/>
      <c r="BP63" s="453"/>
      <c r="BQ63" s="450"/>
    </row>
    <row r="64" spans="1:69" hidden="1" x14ac:dyDescent="0.25">
      <c r="A64" t="s">
        <v>377</v>
      </c>
      <c r="F64" s="449"/>
      <c r="G64" s="452"/>
      <c r="H64" s="269"/>
      <c r="I64" s="269"/>
      <c r="J64" s="269"/>
      <c r="K64" s="269"/>
      <c r="L64" s="269"/>
      <c r="M64" s="269"/>
      <c r="N64" s="269"/>
      <c r="O64" s="269"/>
      <c r="P64" s="453"/>
      <c r="Q64" s="450"/>
      <c r="S64" s="449"/>
      <c r="T64" s="452"/>
      <c r="U64" s="269"/>
      <c r="V64" s="269"/>
      <c r="W64" s="269"/>
      <c r="X64" s="269"/>
      <c r="Y64" s="269"/>
      <c r="Z64" s="269"/>
      <c r="AA64" s="269"/>
      <c r="AB64" s="269"/>
      <c r="AC64" s="453"/>
      <c r="AD64" s="450"/>
      <c r="AF64" s="449"/>
      <c r="AG64" s="452"/>
      <c r="AH64" s="269"/>
      <c r="AI64" s="269"/>
      <c r="AJ64" s="269"/>
      <c r="AK64" s="269"/>
      <c r="AL64" s="269"/>
      <c r="AM64" s="269"/>
      <c r="AN64" s="269"/>
      <c r="AO64" s="269"/>
      <c r="AP64" s="453"/>
      <c r="AQ64" s="450"/>
      <c r="AS64" s="449"/>
      <c r="AT64" s="452"/>
      <c r="AU64" s="269"/>
      <c r="AV64" s="269"/>
      <c r="AW64" s="269"/>
      <c r="AX64" s="269"/>
      <c r="AY64" s="269"/>
      <c r="AZ64" s="269"/>
      <c r="BA64" s="269"/>
      <c r="BB64" s="269"/>
      <c r="BC64" s="453"/>
      <c r="BD64" s="450"/>
      <c r="BF64" s="449"/>
      <c r="BG64" s="452"/>
      <c r="BH64" s="269"/>
      <c r="BI64" s="269"/>
      <c r="BJ64" s="269"/>
      <c r="BK64" s="269"/>
      <c r="BL64" s="269"/>
      <c r="BM64" s="269"/>
      <c r="BN64" s="269"/>
      <c r="BO64" s="269"/>
      <c r="BP64" s="453"/>
      <c r="BQ64" s="450"/>
    </row>
    <row r="65" spans="1:69" ht="56.85" hidden="1" customHeight="1" x14ac:dyDescent="0.25">
      <c r="A65" t="s">
        <v>378</v>
      </c>
      <c r="F65" s="449"/>
      <c r="G65" s="452"/>
      <c r="H65" s="265"/>
      <c r="I65" s="266"/>
      <c r="J65" s="269"/>
      <c r="K65" s="265"/>
      <c r="L65" s="266"/>
      <c r="M65" s="269"/>
      <c r="N65" s="265"/>
      <c r="O65" s="266"/>
      <c r="P65" s="453"/>
      <c r="Q65" s="450"/>
      <c r="S65" s="449"/>
      <c r="T65" s="452"/>
      <c r="U65" s="265"/>
      <c r="V65" s="266"/>
      <c r="W65" s="269"/>
      <c r="X65" s="265"/>
      <c r="Y65" s="266"/>
      <c r="Z65" s="269"/>
      <c r="AA65" s="265"/>
      <c r="AB65" s="266"/>
      <c r="AC65" s="453"/>
      <c r="AD65" s="450"/>
      <c r="AF65" s="449"/>
      <c r="AG65" s="452"/>
      <c r="AH65" s="265"/>
      <c r="AI65" s="266"/>
      <c r="AJ65" s="269"/>
      <c r="AK65" s="265"/>
      <c r="AL65" s="266"/>
      <c r="AM65" s="269"/>
      <c r="AN65" s="265"/>
      <c r="AO65" s="266"/>
      <c r="AP65" s="453"/>
      <c r="AQ65" s="450"/>
      <c r="AS65" s="449"/>
      <c r="AT65" s="452"/>
      <c r="AU65" s="265"/>
      <c r="AV65" s="266"/>
      <c r="AW65" s="269"/>
      <c r="AX65" s="265"/>
      <c r="AY65" s="266"/>
      <c r="AZ65" s="269"/>
      <c r="BA65" s="265"/>
      <c r="BB65" s="266"/>
      <c r="BC65" s="453"/>
      <c r="BD65" s="450"/>
      <c r="BF65" s="449"/>
      <c r="BG65" s="452"/>
      <c r="BH65" s="265"/>
      <c r="BI65" s="266"/>
      <c r="BJ65" s="269"/>
      <c r="BK65" s="265"/>
      <c r="BL65" s="266"/>
      <c r="BM65" s="269"/>
      <c r="BN65" s="265"/>
      <c r="BO65" s="266"/>
      <c r="BP65" s="453"/>
      <c r="BQ65" s="450"/>
    </row>
    <row r="66" spans="1:69" ht="56.85" hidden="1" customHeight="1" x14ac:dyDescent="0.25">
      <c r="A66" s="5"/>
      <c r="F66" s="449"/>
      <c r="G66" s="452"/>
      <c r="H66" s="267"/>
      <c r="I66" s="268"/>
      <c r="J66" s="269"/>
      <c r="K66" s="267"/>
      <c r="L66" s="268"/>
      <c r="M66" s="269"/>
      <c r="N66" s="267"/>
      <c r="O66" s="268"/>
      <c r="P66" s="453"/>
      <c r="Q66" s="450"/>
      <c r="S66" s="449"/>
      <c r="T66" s="452"/>
      <c r="U66" s="267"/>
      <c r="V66" s="268"/>
      <c r="W66" s="269"/>
      <c r="X66" s="267"/>
      <c r="Y66" s="268"/>
      <c r="Z66" s="269"/>
      <c r="AA66" s="267"/>
      <c r="AB66" s="268"/>
      <c r="AC66" s="453"/>
      <c r="AD66" s="450"/>
      <c r="AF66" s="449"/>
      <c r="AG66" s="452"/>
      <c r="AH66" s="267"/>
      <c r="AI66" s="268"/>
      <c r="AJ66" s="269"/>
      <c r="AK66" s="267"/>
      <c r="AL66" s="268"/>
      <c r="AM66" s="269"/>
      <c r="AN66" s="267"/>
      <c r="AO66" s="268"/>
      <c r="AP66" s="453"/>
      <c r="AQ66" s="450"/>
      <c r="AS66" s="449"/>
      <c r="AT66" s="452"/>
      <c r="AU66" s="267"/>
      <c r="AV66" s="268"/>
      <c r="AW66" s="269"/>
      <c r="AX66" s="267"/>
      <c r="AY66" s="268"/>
      <c r="AZ66" s="269"/>
      <c r="BA66" s="267"/>
      <c r="BB66" s="268"/>
      <c r="BC66" s="453"/>
      <c r="BD66" s="450"/>
      <c r="BF66" s="449"/>
      <c r="BG66" s="452"/>
      <c r="BH66" s="267"/>
      <c r="BI66" s="268"/>
      <c r="BJ66" s="269"/>
      <c r="BK66" s="267"/>
      <c r="BL66" s="268"/>
      <c r="BM66" s="269"/>
      <c r="BN66" s="267"/>
      <c r="BO66" s="268"/>
      <c r="BP66" s="453"/>
      <c r="BQ66" s="450"/>
    </row>
    <row r="67" spans="1:69" hidden="1" x14ac:dyDescent="0.25">
      <c r="A67" s="5"/>
      <c r="F67" s="449"/>
      <c r="G67" s="452"/>
      <c r="H67" s="269"/>
      <c r="I67" s="269"/>
      <c r="J67" s="269"/>
      <c r="K67" s="269"/>
      <c r="L67" s="269"/>
      <c r="M67" s="269"/>
      <c r="N67" s="269"/>
      <c r="O67" s="269"/>
      <c r="P67" s="453"/>
      <c r="Q67" s="450"/>
      <c r="S67" s="449"/>
      <c r="T67" s="452"/>
      <c r="U67" s="269"/>
      <c r="V67" s="269"/>
      <c r="W67" s="269"/>
      <c r="X67" s="269"/>
      <c r="Y67" s="269"/>
      <c r="Z67" s="269"/>
      <c r="AA67" s="269"/>
      <c r="AB67" s="269"/>
      <c r="AC67" s="453"/>
      <c r="AD67" s="450"/>
      <c r="AF67" s="449"/>
      <c r="AG67" s="452"/>
      <c r="AH67" s="269"/>
      <c r="AI67" s="269"/>
      <c r="AJ67" s="269"/>
      <c r="AK67" s="269"/>
      <c r="AL67" s="269"/>
      <c r="AM67" s="269"/>
      <c r="AN67" s="269"/>
      <c r="AO67" s="269"/>
      <c r="AP67" s="453"/>
      <c r="AQ67" s="450"/>
      <c r="AS67" s="449"/>
      <c r="AT67" s="452"/>
      <c r="AU67" s="269"/>
      <c r="AV67" s="269"/>
      <c r="AW67" s="269"/>
      <c r="AX67" s="269"/>
      <c r="AY67" s="269"/>
      <c r="AZ67" s="269"/>
      <c r="BA67" s="269"/>
      <c r="BB67" s="269"/>
      <c r="BC67" s="453"/>
      <c r="BD67" s="450"/>
      <c r="BF67" s="449"/>
      <c r="BG67" s="452"/>
      <c r="BH67" s="269"/>
      <c r="BI67" s="269"/>
      <c r="BJ67" s="269"/>
      <c r="BK67" s="269"/>
      <c r="BL67" s="269"/>
      <c r="BM67" s="269"/>
      <c r="BN67" s="269"/>
      <c r="BO67" s="269"/>
      <c r="BP67" s="453"/>
      <c r="BQ67" s="450"/>
    </row>
    <row r="68" spans="1:69" ht="56.85" hidden="1" customHeight="1" x14ac:dyDescent="0.25">
      <c r="A68" s="5"/>
      <c r="F68" s="449"/>
      <c r="G68" s="452"/>
      <c r="H68" s="265"/>
      <c r="I68" s="266"/>
      <c r="J68" s="269"/>
      <c r="K68" s="265"/>
      <c r="L68" s="266"/>
      <c r="M68" s="269"/>
      <c r="N68" s="265"/>
      <c r="O68" s="266"/>
      <c r="P68" s="453"/>
      <c r="Q68" s="450"/>
      <c r="S68" s="449"/>
      <c r="T68" s="452"/>
      <c r="U68" s="265"/>
      <c r="V68" s="266"/>
      <c r="W68" s="269"/>
      <c r="X68" s="265"/>
      <c r="Y68" s="266"/>
      <c r="Z68" s="269"/>
      <c r="AA68" s="265"/>
      <c r="AB68" s="266"/>
      <c r="AC68" s="453"/>
      <c r="AD68" s="450"/>
      <c r="AF68" s="449"/>
      <c r="AG68" s="452"/>
      <c r="AH68" s="265"/>
      <c r="AI68" s="266"/>
      <c r="AJ68" s="269"/>
      <c r="AK68" s="265"/>
      <c r="AL68" s="266"/>
      <c r="AM68" s="269"/>
      <c r="AN68" s="265"/>
      <c r="AO68" s="266"/>
      <c r="AP68" s="453"/>
      <c r="AQ68" s="450"/>
      <c r="AS68" s="449"/>
      <c r="AT68" s="452"/>
      <c r="AU68" s="265"/>
      <c r="AV68" s="266"/>
      <c r="AW68" s="269"/>
      <c r="AX68" s="265"/>
      <c r="AY68" s="266"/>
      <c r="AZ68" s="269"/>
      <c r="BA68" s="265"/>
      <c r="BB68" s="266"/>
      <c r="BC68" s="453"/>
      <c r="BD68" s="450"/>
      <c r="BF68" s="449"/>
      <c r="BG68" s="452"/>
      <c r="BH68" s="265"/>
      <c r="BI68" s="266"/>
      <c r="BJ68" s="269"/>
      <c r="BK68" s="265"/>
      <c r="BL68" s="266"/>
      <c r="BM68" s="269"/>
      <c r="BN68" s="265"/>
      <c r="BO68" s="266"/>
      <c r="BP68" s="453"/>
      <c r="BQ68" s="450"/>
    </row>
    <row r="69" spans="1:69" ht="56.85" hidden="1" customHeight="1" x14ac:dyDescent="0.25">
      <c r="A69" s="5"/>
      <c r="F69" s="449"/>
      <c r="G69" s="452"/>
      <c r="H69" s="267"/>
      <c r="I69" s="268"/>
      <c r="J69" s="269"/>
      <c r="K69" s="267"/>
      <c r="L69" s="268"/>
      <c r="M69" s="269"/>
      <c r="N69" s="267"/>
      <c r="O69" s="268"/>
      <c r="P69" s="453"/>
      <c r="Q69" s="450"/>
      <c r="S69" s="449"/>
      <c r="T69" s="452"/>
      <c r="U69" s="267"/>
      <c r="V69" s="268"/>
      <c r="W69" s="269"/>
      <c r="X69" s="267"/>
      <c r="Y69" s="268"/>
      <c r="Z69" s="269"/>
      <c r="AA69" s="267"/>
      <c r="AB69" s="268"/>
      <c r="AC69" s="453"/>
      <c r="AD69" s="450"/>
      <c r="AF69" s="449"/>
      <c r="AG69" s="452"/>
      <c r="AH69" s="267"/>
      <c r="AI69" s="268"/>
      <c r="AJ69" s="269"/>
      <c r="AK69" s="267"/>
      <c r="AL69" s="268"/>
      <c r="AM69" s="269"/>
      <c r="AN69" s="267"/>
      <c r="AO69" s="268"/>
      <c r="AP69" s="453"/>
      <c r="AQ69" s="450"/>
      <c r="AS69" s="449"/>
      <c r="AT69" s="452"/>
      <c r="AU69" s="267"/>
      <c r="AV69" s="268"/>
      <c r="AW69" s="269"/>
      <c r="AX69" s="267"/>
      <c r="AY69" s="268"/>
      <c r="AZ69" s="269"/>
      <c r="BA69" s="267"/>
      <c r="BB69" s="268"/>
      <c r="BC69" s="453"/>
      <c r="BD69" s="450"/>
      <c r="BF69" s="449"/>
      <c r="BG69" s="452"/>
      <c r="BH69" s="267"/>
      <c r="BI69" s="268"/>
      <c r="BJ69" s="269"/>
      <c r="BK69" s="267"/>
      <c r="BL69" s="268"/>
      <c r="BM69" s="269"/>
      <c r="BN69" s="267"/>
      <c r="BO69" s="268"/>
      <c r="BP69" s="453"/>
      <c r="BQ69" s="450"/>
    </row>
    <row r="70" spans="1:69" hidden="1" x14ac:dyDescent="0.25">
      <c r="A70" s="5"/>
      <c r="F70" s="449"/>
      <c r="G70" s="263"/>
      <c r="H70" s="451"/>
      <c r="I70" s="451"/>
      <c r="J70" s="451"/>
      <c r="K70" s="451"/>
      <c r="L70" s="451"/>
      <c r="M70" s="451"/>
      <c r="N70" s="451"/>
      <c r="O70" s="451"/>
      <c r="P70" s="263"/>
      <c r="Q70" s="450"/>
      <c r="S70" s="449"/>
      <c r="T70" s="263"/>
      <c r="U70" s="451"/>
      <c r="V70" s="451"/>
      <c r="W70" s="451"/>
      <c r="X70" s="451"/>
      <c r="Y70" s="451"/>
      <c r="Z70" s="451"/>
      <c r="AA70" s="451"/>
      <c r="AB70" s="451"/>
      <c r="AC70" s="263"/>
      <c r="AD70" s="450"/>
      <c r="AF70" s="449"/>
      <c r="AG70" s="263"/>
      <c r="AH70" s="451"/>
      <c r="AI70" s="451"/>
      <c r="AJ70" s="451"/>
      <c r="AK70" s="451"/>
      <c r="AL70" s="451"/>
      <c r="AM70" s="451"/>
      <c r="AN70" s="451"/>
      <c r="AO70" s="451"/>
      <c r="AP70" s="263"/>
      <c r="AQ70" s="450"/>
      <c r="AS70" s="449"/>
      <c r="AT70" s="263"/>
      <c r="AU70" s="451"/>
      <c r="AV70" s="451"/>
      <c r="AW70" s="451"/>
      <c r="AX70" s="451"/>
      <c r="AY70" s="451"/>
      <c r="AZ70" s="451"/>
      <c r="BA70" s="451"/>
      <c r="BB70" s="451"/>
      <c r="BC70" s="263"/>
      <c r="BD70" s="450"/>
      <c r="BF70" s="449"/>
      <c r="BG70" s="263"/>
      <c r="BH70" s="451"/>
      <c r="BI70" s="451"/>
      <c r="BJ70" s="451"/>
      <c r="BK70" s="451"/>
      <c r="BL70" s="451"/>
      <c r="BM70" s="451"/>
      <c r="BN70" s="451"/>
      <c r="BO70" s="451"/>
      <c r="BP70" s="263"/>
      <c r="BQ70" s="450"/>
    </row>
    <row r="71" spans="1:69" hidden="1" x14ac:dyDescent="0.25">
      <c r="A71" s="5"/>
      <c r="G71" s="448" t="s">
        <v>1251</v>
      </c>
      <c r="H71" s="448"/>
      <c r="I71" s="448"/>
      <c r="J71" s="448"/>
      <c r="K71" s="448"/>
      <c r="L71" s="448"/>
      <c r="M71" s="448"/>
      <c r="N71" s="448"/>
      <c r="O71" s="448"/>
      <c r="P71" s="448"/>
      <c r="T71" s="448" t="s">
        <v>1251</v>
      </c>
      <c r="U71" s="448"/>
      <c r="V71" s="448"/>
      <c r="W71" s="448"/>
      <c r="X71" s="448"/>
      <c r="Y71" s="448"/>
      <c r="Z71" s="448"/>
      <c r="AA71" s="448"/>
      <c r="AB71" s="448"/>
      <c r="AC71" s="448"/>
      <c r="AG71" s="448" t="s">
        <v>1251</v>
      </c>
      <c r="AH71" s="448"/>
      <c r="AI71" s="448"/>
      <c r="AJ71" s="448"/>
      <c r="AK71" s="448"/>
      <c r="AL71" s="448"/>
      <c r="AM71" s="448"/>
      <c r="AN71" s="448"/>
      <c r="AO71" s="448"/>
      <c r="AP71" s="448"/>
      <c r="AT71" s="448" t="s">
        <v>1251</v>
      </c>
      <c r="AU71" s="448"/>
      <c r="AV71" s="448"/>
      <c r="AW71" s="448"/>
      <c r="AX71" s="448"/>
      <c r="AY71" s="448"/>
      <c r="AZ71" s="448"/>
      <c r="BA71" s="448"/>
      <c r="BB71" s="448"/>
      <c r="BC71" s="448"/>
      <c r="BG71" s="448" t="s">
        <v>1251</v>
      </c>
      <c r="BH71" s="448"/>
      <c r="BI71" s="448"/>
      <c r="BJ71" s="448"/>
      <c r="BK71" s="448"/>
      <c r="BL71" s="448"/>
      <c r="BM71" s="448"/>
      <c r="BN71" s="448"/>
      <c r="BO71" s="448"/>
      <c r="BP71" s="448"/>
    </row>
  </sheetData>
  <sheetProtection sheet="1" objects="1" scenarios="1" selectLockedCells="1"/>
  <mergeCells count="200">
    <mergeCell ref="G8:P8"/>
    <mergeCell ref="T8:AC8"/>
    <mergeCell ref="AG8:AP8"/>
    <mergeCell ref="AT8:BC8"/>
    <mergeCell ref="BG8:BP8"/>
    <mergeCell ref="F9:F18"/>
    <mergeCell ref="H9:O9"/>
    <mergeCell ref="Q9:Q18"/>
    <mergeCell ref="S9:S18"/>
    <mergeCell ref="U9:AB9"/>
    <mergeCell ref="BQ9:BQ18"/>
    <mergeCell ref="G10:G17"/>
    <mergeCell ref="P10:P17"/>
    <mergeCell ref="T10:T17"/>
    <mergeCell ref="AC10:AC17"/>
    <mergeCell ref="AG10:AG17"/>
    <mergeCell ref="AP10:AP17"/>
    <mergeCell ref="AD9:AD18"/>
    <mergeCell ref="AF9:AF18"/>
    <mergeCell ref="AH9:AO9"/>
    <mergeCell ref="AQ9:AQ18"/>
    <mergeCell ref="AS9:AS18"/>
    <mergeCell ref="AU9:BB9"/>
    <mergeCell ref="AT10:AT17"/>
    <mergeCell ref="AT19:BC19"/>
    <mergeCell ref="BG19:BP19"/>
    <mergeCell ref="G21:P21"/>
    <mergeCell ref="T21:AC21"/>
    <mergeCell ref="AG21:AP21"/>
    <mergeCell ref="AT21:BC21"/>
    <mergeCell ref="BG21:BP21"/>
    <mergeCell ref="BC10:BC17"/>
    <mergeCell ref="BG10:BG17"/>
    <mergeCell ref="BP10:BP17"/>
    <mergeCell ref="H18:O18"/>
    <mergeCell ref="U18:AB18"/>
    <mergeCell ref="AH18:AO18"/>
    <mergeCell ref="AU18:BB18"/>
    <mergeCell ref="BH18:BO18"/>
    <mergeCell ref="BD9:BD18"/>
    <mergeCell ref="BF9:BF18"/>
    <mergeCell ref="BH9:BO9"/>
    <mergeCell ref="F22:F31"/>
    <mergeCell ref="H22:O22"/>
    <mergeCell ref="Q22:Q31"/>
    <mergeCell ref="S22:S31"/>
    <mergeCell ref="U22:AB22"/>
    <mergeCell ref="AD22:AD31"/>
    <mergeCell ref="G19:P19"/>
    <mergeCell ref="T19:AC19"/>
    <mergeCell ref="AG19:AP19"/>
    <mergeCell ref="BQ22:BQ31"/>
    <mergeCell ref="G23:G30"/>
    <mergeCell ref="P23:P30"/>
    <mergeCell ref="T23:T30"/>
    <mergeCell ref="AC23:AC30"/>
    <mergeCell ref="AG23:AG30"/>
    <mergeCell ref="AP23:AP30"/>
    <mergeCell ref="AT23:AT30"/>
    <mergeCell ref="AF22:AF31"/>
    <mergeCell ref="AH22:AO22"/>
    <mergeCell ref="AQ22:AQ31"/>
    <mergeCell ref="AS22:AS31"/>
    <mergeCell ref="AU22:BB22"/>
    <mergeCell ref="BD22:BD31"/>
    <mergeCell ref="BC23:BC30"/>
    <mergeCell ref="AT32:BC32"/>
    <mergeCell ref="BG32:BP32"/>
    <mergeCell ref="G34:P34"/>
    <mergeCell ref="T34:AC34"/>
    <mergeCell ref="AG34:AP34"/>
    <mergeCell ref="AT34:BC34"/>
    <mergeCell ref="BG34:BP34"/>
    <mergeCell ref="BG23:BG30"/>
    <mergeCell ref="BP23:BP30"/>
    <mergeCell ref="H31:O31"/>
    <mergeCell ref="U31:AB31"/>
    <mergeCell ref="AH31:AO31"/>
    <mergeCell ref="AU31:BB31"/>
    <mergeCell ref="BH31:BO31"/>
    <mergeCell ref="BF22:BF31"/>
    <mergeCell ref="BH22:BO22"/>
    <mergeCell ref="F35:F44"/>
    <mergeCell ref="H35:O35"/>
    <mergeCell ref="Q35:Q44"/>
    <mergeCell ref="S35:S44"/>
    <mergeCell ref="U35:AB35"/>
    <mergeCell ref="AD35:AD44"/>
    <mergeCell ref="G32:P32"/>
    <mergeCell ref="T32:AC32"/>
    <mergeCell ref="AG32:AP32"/>
    <mergeCell ref="BQ35:BQ44"/>
    <mergeCell ref="G36:G43"/>
    <mergeCell ref="P36:P43"/>
    <mergeCell ref="T36:T43"/>
    <mergeCell ref="AC36:AC43"/>
    <mergeCell ref="AG36:AG43"/>
    <mergeCell ref="AP36:AP43"/>
    <mergeCell ref="AT36:AT43"/>
    <mergeCell ref="AF35:AF44"/>
    <mergeCell ref="AH35:AO35"/>
    <mergeCell ref="AQ35:AQ44"/>
    <mergeCell ref="AS35:AS44"/>
    <mergeCell ref="AU35:BB35"/>
    <mergeCell ref="BD35:BD44"/>
    <mergeCell ref="BC36:BC43"/>
    <mergeCell ref="AT45:BC45"/>
    <mergeCell ref="BG45:BP45"/>
    <mergeCell ref="G47:P47"/>
    <mergeCell ref="T47:AC47"/>
    <mergeCell ref="AG47:AP47"/>
    <mergeCell ref="AT47:BC47"/>
    <mergeCell ref="BG47:BP47"/>
    <mergeCell ref="BG36:BG43"/>
    <mergeCell ref="BP36:BP43"/>
    <mergeCell ref="H44:O44"/>
    <mergeCell ref="U44:AB44"/>
    <mergeCell ref="AH44:AO44"/>
    <mergeCell ref="AU44:BB44"/>
    <mergeCell ref="BH44:BO44"/>
    <mergeCell ref="BF35:BF44"/>
    <mergeCell ref="BH35:BO35"/>
    <mergeCell ref="F48:F57"/>
    <mergeCell ref="H48:O48"/>
    <mergeCell ref="Q48:Q57"/>
    <mergeCell ref="S48:S57"/>
    <mergeCell ref="U48:AB48"/>
    <mergeCell ref="AD48:AD57"/>
    <mergeCell ref="G45:P45"/>
    <mergeCell ref="T45:AC45"/>
    <mergeCell ref="AG45:AP45"/>
    <mergeCell ref="BQ48:BQ57"/>
    <mergeCell ref="G49:G56"/>
    <mergeCell ref="P49:P56"/>
    <mergeCell ref="T49:T56"/>
    <mergeCell ref="AC49:AC56"/>
    <mergeCell ref="AG49:AG56"/>
    <mergeCell ref="AP49:AP56"/>
    <mergeCell ref="AT49:AT56"/>
    <mergeCell ref="AF48:AF57"/>
    <mergeCell ref="AH48:AO48"/>
    <mergeCell ref="AQ48:AQ57"/>
    <mergeCell ref="AS48:AS57"/>
    <mergeCell ref="AU48:BB48"/>
    <mergeCell ref="BD48:BD57"/>
    <mergeCell ref="BC49:BC56"/>
    <mergeCell ref="AT58:BC58"/>
    <mergeCell ref="BG58:BP58"/>
    <mergeCell ref="G60:P60"/>
    <mergeCell ref="T60:AC60"/>
    <mergeCell ref="AG60:AP60"/>
    <mergeCell ref="AT60:BC60"/>
    <mergeCell ref="BG60:BP60"/>
    <mergeCell ref="BG49:BG56"/>
    <mergeCell ref="BP49:BP56"/>
    <mergeCell ref="H57:O57"/>
    <mergeCell ref="U57:AB57"/>
    <mergeCell ref="AH57:AO57"/>
    <mergeCell ref="AU57:BB57"/>
    <mergeCell ref="BH57:BO57"/>
    <mergeCell ref="BF48:BF57"/>
    <mergeCell ref="BH48:BO48"/>
    <mergeCell ref="F61:F70"/>
    <mergeCell ref="H61:O61"/>
    <mergeCell ref="Q61:Q70"/>
    <mergeCell ref="S61:S70"/>
    <mergeCell ref="U61:AB61"/>
    <mergeCell ref="AD61:AD70"/>
    <mergeCell ref="G58:P58"/>
    <mergeCell ref="T58:AC58"/>
    <mergeCell ref="AG58:AP58"/>
    <mergeCell ref="BQ61:BQ70"/>
    <mergeCell ref="G62:G69"/>
    <mergeCell ref="P62:P69"/>
    <mergeCell ref="T62:T69"/>
    <mergeCell ref="AC62:AC69"/>
    <mergeCell ref="AG62:AG69"/>
    <mergeCell ref="AP62:AP69"/>
    <mergeCell ref="AT62:AT69"/>
    <mergeCell ref="AF61:AF70"/>
    <mergeCell ref="AH61:AO61"/>
    <mergeCell ref="AQ61:AQ70"/>
    <mergeCell ref="AS61:AS70"/>
    <mergeCell ref="AU61:BB61"/>
    <mergeCell ref="BD61:BD70"/>
    <mergeCell ref="BC62:BC69"/>
    <mergeCell ref="G71:P71"/>
    <mergeCell ref="T71:AC71"/>
    <mergeCell ref="AG71:AP71"/>
    <mergeCell ref="AT71:BC71"/>
    <mergeCell ref="BG71:BP71"/>
    <mergeCell ref="BG62:BG69"/>
    <mergeCell ref="BP62:BP69"/>
    <mergeCell ref="H70:O70"/>
    <mergeCell ref="U70:AB70"/>
    <mergeCell ref="AH70:AO70"/>
    <mergeCell ref="AU70:BB70"/>
    <mergeCell ref="BH70:BO70"/>
    <mergeCell ref="BF61:BF70"/>
    <mergeCell ref="BH61:BO61"/>
  </mergeCells>
  <conditionalFormatting sqref="H9:O9">
    <cfRule type="expression" dxfId="1849" priority="925">
      <formula>H9="City Wall"</formula>
    </cfRule>
  </conditionalFormatting>
  <conditionalFormatting sqref="H18:O18">
    <cfRule type="expression" dxfId="1848" priority="924">
      <formula>H18="City Wall"</formula>
    </cfRule>
  </conditionalFormatting>
  <conditionalFormatting sqref="G10:G17">
    <cfRule type="expression" dxfId="1847" priority="923">
      <formula>G10="City Wall"</formula>
    </cfRule>
  </conditionalFormatting>
  <conditionalFormatting sqref="P10:P17">
    <cfRule type="expression" dxfId="1846" priority="922">
      <formula>P10="City Wall"</formula>
    </cfRule>
  </conditionalFormatting>
  <conditionalFormatting sqref="G9">
    <cfRule type="expression" dxfId="1845" priority="920">
      <formula>G10="City Wall"</formula>
    </cfRule>
    <cfRule type="expression" dxfId="1844" priority="921">
      <formula>H9="City Wall"</formula>
    </cfRule>
  </conditionalFormatting>
  <conditionalFormatting sqref="P9">
    <cfRule type="expression" dxfId="1843" priority="918">
      <formula>P10="City Wall"</formula>
    </cfRule>
    <cfRule type="expression" dxfId="1842" priority="919">
      <formula>H9="City Wall"</formula>
    </cfRule>
  </conditionalFormatting>
  <conditionalFormatting sqref="P18">
    <cfRule type="expression" dxfId="1841" priority="916">
      <formula>H18="City Wall"</formula>
    </cfRule>
    <cfRule type="expression" dxfId="1840" priority="917">
      <formula>P10="City Wall"</formula>
    </cfRule>
  </conditionalFormatting>
  <conditionalFormatting sqref="G18">
    <cfRule type="expression" dxfId="1839" priority="914">
      <formula>G10="City Wall"</formula>
    </cfRule>
    <cfRule type="expression" dxfId="1838" priority="915">
      <formula>H18="City Wall"</formula>
    </cfRule>
  </conditionalFormatting>
  <conditionalFormatting sqref="G19:P19">
    <cfRule type="expression" dxfId="1837" priority="912">
      <formula>G19="Land"</formula>
    </cfRule>
    <cfRule type="expression" dxfId="1836" priority="913">
      <formula>G19="Water"</formula>
    </cfRule>
  </conditionalFormatting>
  <conditionalFormatting sqref="Q19">
    <cfRule type="expression" dxfId="1835" priority="908" stopIfTrue="1">
      <formula>Q9="Water"</formula>
    </cfRule>
    <cfRule type="expression" dxfId="1834" priority="909" stopIfTrue="1">
      <formula>G19="Water"</formula>
    </cfRule>
    <cfRule type="expression" dxfId="1833" priority="910" stopIfTrue="1">
      <formula>G19="Land"</formula>
    </cfRule>
    <cfRule type="expression" dxfId="1832" priority="911" stopIfTrue="1">
      <formula>Q9="Land"</formula>
    </cfRule>
  </conditionalFormatting>
  <conditionalFormatting sqref="G8:P8">
    <cfRule type="expression" dxfId="1831" priority="906" stopIfTrue="1">
      <formula>G8="Water"</formula>
    </cfRule>
    <cfRule type="expression" dxfId="1830" priority="907" stopIfTrue="1">
      <formula>G8="Land"</formula>
    </cfRule>
  </conditionalFormatting>
  <conditionalFormatting sqref="F19">
    <cfRule type="expression" dxfId="1829" priority="902" stopIfTrue="1">
      <formula>F9="Water"</formula>
    </cfRule>
    <cfRule type="expression" dxfId="1828" priority="903" stopIfTrue="1">
      <formula>G19="Water"</formula>
    </cfRule>
    <cfRule type="expression" dxfId="1827" priority="904" stopIfTrue="1">
      <formula>G19="Land"</formula>
    </cfRule>
    <cfRule type="expression" dxfId="1826" priority="905" stopIfTrue="1">
      <formula>F9="Land"</formula>
    </cfRule>
  </conditionalFormatting>
  <conditionalFormatting sqref="F9:F18">
    <cfRule type="expression" dxfId="1825" priority="900" stopIfTrue="1">
      <formula>F9="Water"</formula>
    </cfRule>
    <cfRule type="expression" dxfId="1824" priority="901" stopIfTrue="1">
      <formula>F9="Land"</formula>
    </cfRule>
  </conditionalFormatting>
  <conditionalFormatting sqref="Q9:Q18">
    <cfRule type="expression" dxfId="1823" priority="898" stopIfTrue="1">
      <formula>Q9="Water"</formula>
    </cfRule>
    <cfRule type="expression" dxfId="1822" priority="899" stopIfTrue="1">
      <formula>Q9="Land"</formula>
    </cfRule>
  </conditionalFormatting>
  <conditionalFormatting sqref="Q8">
    <cfRule type="expression" dxfId="1821" priority="894" stopIfTrue="1">
      <formula>Q9="Water"</formula>
    </cfRule>
    <cfRule type="expression" dxfId="1820" priority="895" stopIfTrue="1">
      <formula>G8="Water"</formula>
    </cfRule>
    <cfRule type="expression" dxfId="1819" priority="896" stopIfTrue="1">
      <formula>G8="Land"</formula>
    </cfRule>
    <cfRule type="expression" dxfId="1818" priority="897" stopIfTrue="1">
      <formula>Q9="Land"</formula>
    </cfRule>
  </conditionalFormatting>
  <conditionalFormatting sqref="F8">
    <cfRule type="expression" dxfId="1817" priority="890" stopIfTrue="1">
      <formula>G8="Water"</formula>
    </cfRule>
    <cfRule type="expression" dxfId="1816" priority="891" stopIfTrue="1">
      <formula>F9="Water"</formula>
    </cfRule>
    <cfRule type="expression" dxfId="1815" priority="892" stopIfTrue="1">
      <formula>G8="Land"</formula>
    </cfRule>
    <cfRule type="expression" dxfId="1814" priority="893" stopIfTrue="1">
      <formula>F9="Land"</formula>
    </cfRule>
  </conditionalFormatting>
  <conditionalFormatting sqref="H10:O17">
    <cfRule type="expression" dxfId="1813" priority="889">
      <formula>H10&lt;&gt;""</formula>
    </cfRule>
  </conditionalFormatting>
  <conditionalFormatting sqref="U9:AB9">
    <cfRule type="expression" dxfId="1812" priority="888">
      <formula>U9="City Wall"</formula>
    </cfRule>
  </conditionalFormatting>
  <conditionalFormatting sqref="U18:AB18">
    <cfRule type="expression" dxfId="1811" priority="887">
      <formula>U18="City Wall"</formula>
    </cfRule>
  </conditionalFormatting>
  <conditionalFormatting sqref="T10:T17">
    <cfRule type="expression" dxfId="1810" priority="886">
      <formula>T10="City Wall"</formula>
    </cfRule>
  </conditionalFormatting>
  <conditionalFormatting sqref="AC10:AC17">
    <cfRule type="expression" dxfId="1809" priority="885">
      <formula>AC10="City Wall"</formula>
    </cfRule>
  </conditionalFormatting>
  <conditionalFormatting sqref="T9">
    <cfRule type="expression" dxfId="1808" priority="883">
      <formula>T10="City Wall"</formula>
    </cfRule>
    <cfRule type="expression" dxfId="1807" priority="884">
      <formula>U9="City Wall"</formula>
    </cfRule>
  </conditionalFormatting>
  <conditionalFormatting sqref="AC9">
    <cfRule type="expression" dxfId="1806" priority="881">
      <formula>AC10="City Wall"</formula>
    </cfRule>
    <cfRule type="expression" dxfId="1805" priority="882">
      <formula>U9="City Wall"</formula>
    </cfRule>
  </conditionalFormatting>
  <conditionalFormatting sqref="AC18">
    <cfRule type="expression" dxfId="1804" priority="879">
      <formula>U18="City Wall"</formula>
    </cfRule>
    <cfRule type="expression" dxfId="1803" priority="880">
      <formula>AC10="City Wall"</formula>
    </cfRule>
  </conditionalFormatting>
  <conditionalFormatting sqref="T18">
    <cfRule type="expression" dxfId="1802" priority="877">
      <formula>T10="City Wall"</formula>
    </cfRule>
    <cfRule type="expression" dxfId="1801" priority="878">
      <formula>U18="City Wall"</formula>
    </cfRule>
  </conditionalFormatting>
  <conditionalFormatting sqref="T19:AC19">
    <cfRule type="expression" dxfId="1800" priority="875">
      <formula>T19="Land"</formula>
    </cfRule>
    <cfRule type="expression" dxfId="1799" priority="876">
      <formula>T19="Water"</formula>
    </cfRule>
  </conditionalFormatting>
  <conditionalFormatting sqref="AD19">
    <cfRule type="expression" dxfId="1798" priority="871" stopIfTrue="1">
      <formula>AD9="Water"</formula>
    </cfRule>
    <cfRule type="expression" dxfId="1797" priority="872" stopIfTrue="1">
      <formula>T19="Water"</formula>
    </cfRule>
    <cfRule type="expression" dxfId="1796" priority="873" stopIfTrue="1">
      <formula>T19="Land"</formula>
    </cfRule>
    <cfRule type="expression" dxfId="1795" priority="874" stopIfTrue="1">
      <formula>AD9="Land"</formula>
    </cfRule>
  </conditionalFormatting>
  <conditionalFormatting sqref="T8:AC8">
    <cfRule type="expression" dxfId="1794" priority="869" stopIfTrue="1">
      <formula>T8="Water"</formula>
    </cfRule>
    <cfRule type="expression" dxfId="1793" priority="870" stopIfTrue="1">
      <formula>T8="Land"</formula>
    </cfRule>
  </conditionalFormatting>
  <conditionalFormatting sqref="S19">
    <cfRule type="expression" dxfId="1792" priority="865" stopIfTrue="1">
      <formula>S9="Water"</formula>
    </cfRule>
    <cfRule type="expression" dxfId="1791" priority="866" stopIfTrue="1">
      <formula>T19="Water"</formula>
    </cfRule>
    <cfRule type="expression" dxfId="1790" priority="867" stopIfTrue="1">
      <formula>T19="Land"</formula>
    </cfRule>
    <cfRule type="expression" dxfId="1789" priority="868" stopIfTrue="1">
      <formula>S9="Land"</formula>
    </cfRule>
  </conditionalFormatting>
  <conditionalFormatting sqref="S9:S18">
    <cfRule type="expression" dxfId="1788" priority="863" stopIfTrue="1">
      <formula>S9="Water"</formula>
    </cfRule>
    <cfRule type="expression" dxfId="1787" priority="864" stopIfTrue="1">
      <formula>S9="Land"</formula>
    </cfRule>
  </conditionalFormatting>
  <conditionalFormatting sqref="AD9:AD18">
    <cfRule type="expression" dxfId="1786" priority="861" stopIfTrue="1">
      <formula>AD9="Water"</formula>
    </cfRule>
    <cfRule type="expression" dxfId="1785" priority="862" stopIfTrue="1">
      <formula>AD9="Land"</formula>
    </cfRule>
  </conditionalFormatting>
  <conditionalFormatting sqref="AD8">
    <cfRule type="expression" dxfId="1784" priority="857" stopIfTrue="1">
      <formula>AD9="Water"</formula>
    </cfRule>
    <cfRule type="expression" dxfId="1783" priority="858" stopIfTrue="1">
      <formula>T8="Water"</formula>
    </cfRule>
    <cfRule type="expression" dxfId="1782" priority="859" stopIfTrue="1">
      <formula>T8="Land"</formula>
    </cfRule>
    <cfRule type="expression" dxfId="1781" priority="860" stopIfTrue="1">
      <formula>AD9="Land"</formula>
    </cfRule>
  </conditionalFormatting>
  <conditionalFormatting sqref="S8">
    <cfRule type="expression" dxfId="1780" priority="853" stopIfTrue="1">
      <formula>T8="Water"</formula>
    </cfRule>
    <cfRule type="expression" dxfId="1779" priority="854" stopIfTrue="1">
      <formula>S9="Water"</formula>
    </cfRule>
    <cfRule type="expression" dxfId="1778" priority="855" stopIfTrue="1">
      <formula>T8="Land"</formula>
    </cfRule>
    <cfRule type="expression" dxfId="1777" priority="856" stopIfTrue="1">
      <formula>S9="Land"</formula>
    </cfRule>
  </conditionalFormatting>
  <conditionalFormatting sqref="U10:AB17">
    <cfRule type="expression" dxfId="1776" priority="852">
      <formula>U10&lt;&gt;""</formula>
    </cfRule>
  </conditionalFormatting>
  <conditionalFormatting sqref="AH9:AO9">
    <cfRule type="expression" dxfId="1775" priority="851">
      <formula>AH9="City Wall"</formula>
    </cfRule>
  </conditionalFormatting>
  <conditionalFormatting sqref="AH18:AO18">
    <cfRule type="expression" dxfId="1774" priority="850">
      <formula>AH18="City Wall"</formula>
    </cfRule>
  </conditionalFormatting>
  <conditionalFormatting sqref="AG10:AG17">
    <cfRule type="expression" dxfId="1773" priority="849">
      <formula>AG10="City Wall"</formula>
    </cfRule>
  </conditionalFormatting>
  <conditionalFormatting sqref="AP10:AP17">
    <cfRule type="expression" dxfId="1772" priority="848">
      <formula>AP10="City Wall"</formula>
    </cfRule>
  </conditionalFormatting>
  <conditionalFormatting sqref="AG9">
    <cfRule type="expression" dxfId="1771" priority="846">
      <formula>AG10="City Wall"</formula>
    </cfRule>
    <cfRule type="expression" dxfId="1770" priority="847">
      <formula>AH9="City Wall"</formula>
    </cfRule>
  </conditionalFormatting>
  <conditionalFormatting sqref="AP9">
    <cfRule type="expression" dxfId="1769" priority="844">
      <formula>AP10="City Wall"</formula>
    </cfRule>
    <cfRule type="expression" dxfId="1768" priority="845">
      <formula>AH9="City Wall"</formula>
    </cfRule>
  </conditionalFormatting>
  <conditionalFormatting sqref="AP18">
    <cfRule type="expression" dxfId="1767" priority="842">
      <formula>AH18="City Wall"</formula>
    </cfRule>
    <cfRule type="expression" dxfId="1766" priority="843">
      <formula>AP10="City Wall"</formula>
    </cfRule>
  </conditionalFormatting>
  <conditionalFormatting sqref="AG18">
    <cfRule type="expression" dxfId="1765" priority="840">
      <formula>AG10="City Wall"</formula>
    </cfRule>
    <cfRule type="expression" dxfId="1764" priority="841">
      <formula>AH18="City Wall"</formula>
    </cfRule>
  </conditionalFormatting>
  <conditionalFormatting sqref="AG19:AP19">
    <cfRule type="expression" dxfId="1763" priority="838">
      <formula>AG19="Land"</formula>
    </cfRule>
    <cfRule type="expression" dxfId="1762" priority="839">
      <formula>AG19="Water"</formula>
    </cfRule>
  </conditionalFormatting>
  <conditionalFormatting sqref="AQ19">
    <cfRule type="expression" dxfId="1761" priority="834" stopIfTrue="1">
      <formula>AQ9="Water"</formula>
    </cfRule>
    <cfRule type="expression" dxfId="1760" priority="835" stopIfTrue="1">
      <formula>AG19="Water"</formula>
    </cfRule>
    <cfRule type="expression" dxfId="1759" priority="836" stopIfTrue="1">
      <formula>AG19="Land"</formula>
    </cfRule>
    <cfRule type="expression" dxfId="1758" priority="837" stopIfTrue="1">
      <formula>AQ9="Land"</formula>
    </cfRule>
  </conditionalFormatting>
  <conditionalFormatting sqref="AG8:AP8">
    <cfRule type="expression" dxfId="1757" priority="832" stopIfTrue="1">
      <formula>AG8="Water"</formula>
    </cfRule>
    <cfRule type="expression" dxfId="1756" priority="833" stopIfTrue="1">
      <formula>AG8="Land"</formula>
    </cfRule>
  </conditionalFormatting>
  <conditionalFormatting sqref="AF19">
    <cfRule type="expression" dxfId="1755" priority="828" stopIfTrue="1">
      <formula>AF9="Water"</formula>
    </cfRule>
    <cfRule type="expression" dxfId="1754" priority="829" stopIfTrue="1">
      <formula>AG19="Water"</formula>
    </cfRule>
    <cfRule type="expression" dxfId="1753" priority="830" stopIfTrue="1">
      <formula>AG19="Land"</formula>
    </cfRule>
    <cfRule type="expression" dxfId="1752" priority="831" stopIfTrue="1">
      <formula>AF9="Land"</formula>
    </cfRule>
  </conditionalFormatting>
  <conditionalFormatting sqref="AF9:AF18">
    <cfRule type="expression" dxfId="1751" priority="826" stopIfTrue="1">
      <formula>AF9="Water"</formula>
    </cfRule>
    <cfRule type="expression" dxfId="1750" priority="827" stopIfTrue="1">
      <formula>AF9="Land"</formula>
    </cfRule>
  </conditionalFormatting>
  <conditionalFormatting sqref="AQ9:AQ18">
    <cfRule type="expression" dxfId="1749" priority="824" stopIfTrue="1">
      <formula>AQ9="Water"</formula>
    </cfRule>
    <cfRule type="expression" dxfId="1748" priority="825" stopIfTrue="1">
      <formula>AQ9="Land"</formula>
    </cfRule>
  </conditionalFormatting>
  <conditionalFormatting sqref="AQ8">
    <cfRule type="expression" dxfId="1747" priority="820" stopIfTrue="1">
      <formula>AQ9="Water"</formula>
    </cfRule>
    <cfRule type="expression" dxfId="1746" priority="821" stopIfTrue="1">
      <formula>AG8="Water"</formula>
    </cfRule>
    <cfRule type="expression" dxfId="1745" priority="822" stopIfTrue="1">
      <formula>AG8="Land"</formula>
    </cfRule>
    <cfRule type="expression" dxfId="1744" priority="823" stopIfTrue="1">
      <formula>AQ9="Land"</formula>
    </cfRule>
  </conditionalFormatting>
  <conditionalFormatting sqref="AF8">
    <cfRule type="expression" dxfId="1743" priority="816" stopIfTrue="1">
      <formula>AG8="Water"</formula>
    </cfRule>
    <cfRule type="expression" dxfId="1742" priority="817" stopIfTrue="1">
      <formula>AF9="Water"</formula>
    </cfRule>
    <cfRule type="expression" dxfId="1741" priority="818" stopIfTrue="1">
      <formula>AG8="Land"</formula>
    </cfRule>
    <cfRule type="expression" dxfId="1740" priority="819" stopIfTrue="1">
      <formula>AF9="Land"</formula>
    </cfRule>
  </conditionalFormatting>
  <conditionalFormatting sqref="AH10:AO17">
    <cfRule type="expression" dxfId="1739" priority="815">
      <formula>AH10&lt;&gt;""</formula>
    </cfRule>
  </conditionalFormatting>
  <conditionalFormatting sqref="H22:O22">
    <cfRule type="expression" dxfId="1738" priority="814">
      <formula>H22="City Wall"</formula>
    </cfRule>
  </conditionalFormatting>
  <conditionalFormatting sqref="H31:O31">
    <cfRule type="expression" dxfId="1737" priority="813">
      <formula>H31="City Wall"</formula>
    </cfRule>
  </conditionalFormatting>
  <conditionalFormatting sqref="G23:G30">
    <cfRule type="expression" dxfId="1736" priority="812">
      <formula>G23="City Wall"</formula>
    </cfRule>
  </conditionalFormatting>
  <conditionalFormatting sqref="P23:P30">
    <cfRule type="expression" dxfId="1735" priority="811">
      <formula>P23="City Wall"</formula>
    </cfRule>
  </conditionalFormatting>
  <conditionalFormatting sqref="G22">
    <cfRule type="expression" dxfId="1734" priority="809">
      <formula>G23="City Wall"</formula>
    </cfRule>
    <cfRule type="expression" dxfId="1733" priority="810">
      <formula>H22="City Wall"</formula>
    </cfRule>
  </conditionalFormatting>
  <conditionalFormatting sqref="P22">
    <cfRule type="expression" dxfId="1732" priority="807">
      <formula>P23="City Wall"</formula>
    </cfRule>
    <cfRule type="expression" dxfId="1731" priority="808">
      <formula>H22="City Wall"</formula>
    </cfRule>
  </conditionalFormatting>
  <conditionalFormatting sqref="P31">
    <cfRule type="expression" dxfId="1730" priority="805">
      <formula>H31="City Wall"</formula>
    </cfRule>
    <cfRule type="expression" dxfId="1729" priority="806">
      <formula>P23="City Wall"</formula>
    </cfRule>
  </conditionalFormatting>
  <conditionalFormatting sqref="G31">
    <cfRule type="expression" dxfId="1728" priority="803">
      <formula>G23="City Wall"</formula>
    </cfRule>
    <cfRule type="expression" dxfId="1727" priority="804">
      <formula>H31="City Wall"</formula>
    </cfRule>
  </conditionalFormatting>
  <conditionalFormatting sqref="G32:P32">
    <cfRule type="expression" dxfId="1726" priority="801">
      <formula>G32="Land"</formula>
    </cfRule>
    <cfRule type="expression" dxfId="1725" priority="802">
      <formula>G32="Water"</formula>
    </cfRule>
  </conditionalFormatting>
  <conditionalFormatting sqref="Q32">
    <cfRule type="expression" dxfId="1724" priority="797" stopIfTrue="1">
      <formula>Q22="Water"</formula>
    </cfRule>
    <cfRule type="expression" dxfId="1723" priority="798" stopIfTrue="1">
      <formula>G32="Water"</formula>
    </cfRule>
    <cfRule type="expression" dxfId="1722" priority="799" stopIfTrue="1">
      <formula>G32="Land"</formula>
    </cfRule>
    <cfRule type="expression" dxfId="1721" priority="800" stopIfTrue="1">
      <formula>Q22="Land"</formula>
    </cfRule>
  </conditionalFormatting>
  <conditionalFormatting sqref="G21:P21">
    <cfRule type="expression" dxfId="1720" priority="795" stopIfTrue="1">
      <formula>G21="Water"</formula>
    </cfRule>
    <cfRule type="expression" dxfId="1719" priority="796" stopIfTrue="1">
      <formula>G21="Land"</formula>
    </cfRule>
  </conditionalFormatting>
  <conditionalFormatting sqref="F32">
    <cfRule type="expression" dxfId="1718" priority="791" stopIfTrue="1">
      <formula>F22="Water"</formula>
    </cfRule>
    <cfRule type="expression" dxfId="1717" priority="792" stopIfTrue="1">
      <formula>G32="Water"</formula>
    </cfRule>
    <cfRule type="expression" dxfId="1716" priority="793" stopIfTrue="1">
      <formula>G32="Land"</formula>
    </cfRule>
    <cfRule type="expression" dxfId="1715" priority="794" stopIfTrue="1">
      <formula>F22="Land"</formula>
    </cfRule>
  </conditionalFormatting>
  <conditionalFormatting sqref="F22:F31">
    <cfRule type="expression" dxfId="1714" priority="789" stopIfTrue="1">
      <formula>F22="Water"</formula>
    </cfRule>
    <cfRule type="expression" dxfId="1713" priority="790" stopIfTrue="1">
      <formula>F22="Land"</formula>
    </cfRule>
  </conditionalFormatting>
  <conditionalFormatting sqref="Q22:Q31">
    <cfRule type="expression" dxfId="1712" priority="787" stopIfTrue="1">
      <formula>Q22="Water"</formula>
    </cfRule>
    <cfRule type="expression" dxfId="1711" priority="788" stopIfTrue="1">
      <formula>Q22="Land"</formula>
    </cfRule>
  </conditionalFormatting>
  <conditionalFormatting sqref="Q21">
    <cfRule type="expression" dxfId="1710" priority="783" stopIfTrue="1">
      <formula>Q22="Water"</formula>
    </cfRule>
    <cfRule type="expression" dxfId="1709" priority="784" stopIfTrue="1">
      <formula>G21="Water"</formula>
    </cfRule>
    <cfRule type="expression" dxfId="1708" priority="785" stopIfTrue="1">
      <formula>G21="Land"</formula>
    </cfRule>
    <cfRule type="expression" dxfId="1707" priority="786" stopIfTrue="1">
      <formula>Q22="Land"</formula>
    </cfRule>
  </conditionalFormatting>
  <conditionalFormatting sqref="F21">
    <cfRule type="expression" dxfId="1706" priority="779" stopIfTrue="1">
      <formula>G21="Water"</formula>
    </cfRule>
    <cfRule type="expression" dxfId="1705" priority="780" stopIfTrue="1">
      <formula>F22="Water"</formula>
    </cfRule>
    <cfRule type="expression" dxfId="1704" priority="781" stopIfTrue="1">
      <formula>G21="Land"</formula>
    </cfRule>
    <cfRule type="expression" dxfId="1703" priority="782" stopIfTrue="1">
      <formula>F22="Land"</formula>
    </cfRule>
  </conditionalFormatting>
  <conditionalFormatting sqref="H23:O30">
    <cfRule type="expression" dxfId="1702" priority="778">
      <formula>H23&lt;&gt;""</formula>
    </cfRule>
  </conditionalFormatting>
  <conditionalFormatting sqref="U22:AB22">
    <cfRule type="expression" dxfId="1701" priority="777">
      <formula>U22="City Wall"</formula>
    </cfRule>
  </conditionalFormatting>
  <conditionalFormatting sqref="U31:AB31">
    <cfRule type="expression" dxfId="1700" priority="776">
      <formula>U31="City Wall"</formula>
    </cfRule>
  </conditionalFormatting>
  <conditionalFormatting sqref="T23:T30">
    <cfRule type="expression" dxfId="1699" priority="775">
      <formula>T23="City Wall"</formula>
    </cfRule>
  </conditionalFormatting>
  <conditionalFormatting sqref="AC23:AC30">
    <cfRule type="expression" dxfId="1698" priority="774">
      <formula>AC23="City Wall"</formula>
    </cfRule>
  </conditionalFormatting>
  <conditionalFormatting sqref="T22">
    <cfRule type="expression" dxfId="1697" priority="772">
      <formula>T23="City Wall"</formula>
    </cfRule>
    <cfRule type="expression" dxfId="1696" priority="773">
      <formula>U22="City Wall"</formula>
    </cfRule>
  </conditionalFormatting>
  <conditionalFormatting sqref="AC22">
    <cfRule type="expression" dxfId="1695" priority="770">
      <formula>AC23="City Wall"</formula>
    </cfRule>
    <cfRule type="expression" dxfId="1694" priority="771">
      <formula>U22="City Wall"</formula>
    </cfRule>
  </conditionalFormatting>
  <conditionalFormatting sqref="AC31">
    <cfRule type="expression" dxfId="1693" priority="768">
      <formula>U31="City Wall"</formula>
    </cfRule>
    <cfRule type="expression" dxfId="1692" priority="769">
      <formula>AC23="City Wall"</formula>
    </cfRule>
  </conditionalFormatting>
  <conditionalFormatting sqref="T31">
    <cfRule type="expression" dxfId="1691" priority="766">
      <formula>T23="City Wall"</formula>
    </cfRule>
    <cfRule type="expression" dxfId="1690" priority="767">
      <formula>U31="City Wall"</formula>
    </cfRule>
  </conditionalFormatting>
  <conditionalFormatting sqref="T32:AC32">
    <cfRule type="expression" dxfId="1689" priority="764">
      <formula>T32="Land"</formula>
    </cfRule>
    <cfRule type="expression" dxfId="1688" priority="765">
      <formula>T32="Water"</formula>
    </cfRule>
  </conditionalFormatting>
  <conditionalFormatting sqref="AD32">
    <cfRule type="expression" dxfId="1687" priority="760" stopIfTrue="1">
      <formula>AD22="Water"</formula>
    </cfRule>
    <cfRule type="expression" dxfId="1686" priority="761" stopIfTrue="1">
      <formula>T32="Water"</formula>
    </cfRule>
    <cfRule type="expression" dxfId="1685" priority="762" stopIfTrue="1">
      <formula>T32="Land"</formula>
    </cfRule>
    <cfRule type="expression" dxfId="1684" priority="763" stopIfTrue="1">
      <formula>AD22="Land"</formula>
    </cfRule>
  </conditionalFormatting>
  <conditionalFormatting sqref="T21:AC21">
    <cfRule type="expression" dxfId="1683" priority="758" stopIfTrue="1">
      <formula>T21="Water"</formula>
    </cfRule>
    <cfRule type="expression" dxfId="1682" priority="759" stopIfTrue="1">
      <formula>T21="Land"</formula>
    </cfRule>
  </conditionalFormatting>
  <conditionalFormatting sqref="S32">
    <cfRule type="expression" dxfId="1681" priority="754" stopIfTrue="1">
      <formula>S22="Water"</formula>
    </cfRule>
    <cfRule type="expression" dxfId="1680" priority="755" stopIfTrue="1">
      <formula>T32="Water"</formula>
    </cfRule>
    <cfRule type="expression" dxfId="1679" priority="756" stopIfTrue="1">
      <formula>T32="Land"</formula>
    </cfRule>
    <cfRule type="expression" dxfId="1678" priority="757" stopIfTrue="1">
      <formula>S22="Land"</formula>
    </cfRule>
  </conditionalFormatting>
  <conditionalFormatting sqref="S22:S31">
    <cfRule type="expression" dxfId="1677" priority="752" stopIfTrue="1">
      <formula>S22="Water"</formula>
    </cfRule>
    <cfRule type="expression" dxfId="1676" priority="753" stopIfTrue="1">
      <formula>S22="Land"</formula>
    </cfRule>
  </conditionalFormatting>
  <conditionalFormatting sqref="AD22:AD31">
    <cfRule type="expression" dxfId="1675" priority="750" stopIfTrue="1">
      <formula>AD22="Water"</formula>
    </cfRule>
    <cfRule type="expression" dxfId="1674" priority="751" stopIfTrue="1">
      <formula>AD22="Land"</formula>
    </cfRule>
  </conditionalFormatting>
  <conditionalFormatting sqref="AD21">
    <cfRule type="expression" dxfId="1673" priority="746" stopIfTrue="1">
      <formula>AD22="Water"</formula>
    </cfRule>
    <cfRule type="expression" dxfId="1672" priority="747" stopIfTrue="1">
      <formula>T21="Water"</formula>
    </cfRule>
    <cfRule type="expression" dxfId="1671" priority="748" stopIfTrue="1">
      <formula>T21="Land"</formula>
    </cfRule>
    <cfRule type="expression" dxfId="1670" priority="749" stopIfTrue="1">
      <formula>AD22="Land"</formula>
    </cfRule>
  </conditionalFormatting>
  <conditionalFormatting sqref="S21">
    <cfRule type="expression" dxfId="1669" priority="742" stopIfTrue="1">
      <formula>T21="Water"</formula>
    </cfRule>
    <cfRule type="expression" dxfId="1668" priority="743" stopIfTrue="1">
      <formula>S22="Water"</formula>
    </cfRule>
    <cfRule type="expression" dxfId="1667" priority="744" stopIfTrue="1">
      <formula>T21="Land"</formula>
    </cfRule>
    <cfRule type="expression" dxfId="1666" priority="745" stopIfTrue="1">
      <formula>S22="Land"</formula>
    </cfRule>
  </conditionalFormatting>
  <conditionalFormatting sqref="U23:AB30">
    <cfRule type="expression" dxfId="1665" priority="741">
      <formula>U23&lt;&gt;""</formula>
    </cfRule>
  </conditionalFormatting>
  <conditionalFormatting sqref="AH22:AO22">
    <cfRule type="expression" dxfId="1664" priority="740">
      <formula>AH22="City Wall"</formula>
    </cfRule>
  </conditionalFormatting>
  <conditionalFormatting sqref="AH31:AO31">
    <cfRule type="expression" dxfId="1663" priority="739">
      <formula>AH31="City Wall"</formula>
    </cfRule>
  </conditionalFormatting>
  <conditionalFormatting sqref="AG23:AG30">
    <cfRule type="expression" dxfId="1662" priority="738">
      <formula>AG23="City Wall"</formula>
    </cfRule>
  </conditionalFormatting>
  <conditionalFormatting sqref="AP23:AP30">
    <cfRule type="expression" dxfId="1661" priority="737">
      <formula>AP23="City Wall"</formula>
    </cfRule>
  </conditionalFormatting>
  <conditionalFormatting sqref="AG22">
    <cfRule type="expression" dxfId="1660" priority="735">
      <formula>AG23="City Wall"</formula>
    </cfRule>
    <cfRule type="expression" dxfId="1659" priority="736">
      <formula>AH22="City Wall"</formula>
    </cfRule>
  </conditionalFormatting>
  <conditionalFormatting sqref="AP22">
    <cfRule type="expression" dxfId="1658" priority="733">
      <formula>AP23="City Wall"</formula>
    </cfRule>
    <cfRule type="expression" dxfId="1657" priority="734">
      <formula>AH22="City Wall"</formula>
    </cfRule>
  </conditionalFormatting>
  <conditionalFormatting sqref="AP31">
    <cfRule type="expression" dxfId="1656" priority="731">
      <formula>AH31="City Wall"</formula>
    </cfRule>
    <cfRule type="expression" dxfId="1655" priority="732">
      <formula>AP23="City Wall"</formula>
    </cfRule>
  </conditionalFormatting>
  <conditionalFormatting sqref="AG31">
    <cfRule type="expression" dxfId="1654" priority="729">
      <formula>AG23="City Wall"</formula>
    </cfRule>
    <cfRule type="expression" dxfId="1653" priority="730">
      <formula>AH31="City Wall"</formula>
    </cfRule>
  </conditionalFormatting>
  <conditionalFormatting sqref="AG32:AP32">
    <cfRule type="expression" dxfId="1652" priority="727">
      <formula>AG32="Land"</formula>
    </cfRule>
    <cfRule type="expression" dxfId="1651" priority="728">
      <formula>AG32="Water"</formula>
    </cfRule>
  </conditionalFormatting>
  <conditionalFormatting sqref="AQ32">
    <cfRule type="expression" dxfId="1650" priority="723" stopIfTrue="1">
      <formula>AQ22="Water"</formula>
    </cfRule>
    <cfRule type="expression" dxfId="1649" priority="724" stopIfTrue="1">
      <formula>AG32="Water"</formula>
    </cfRule>
    <cfRule type="expression" dxfId="1648" priority="725" stopIfTrue="1">
      <formula>AG32="Land"</formula>
    </cfRule>
    <cfRule type="expression" dxfId="1647" priority="726" stopIfTrue="1">
      <formula>AQ22="Land"</formula>
    </cfRule>
  </conditionalFormatting>
  <conditionalFormatting sqref="AG21:AP21">
    <cfRule type="expression" dxfId="1646" priority="721" stopIfTrue="1">
      <formula>AG21="Water"</formula>
    </cfRule>
    <cfRule type="expression" dxfId="1645" priority="722" stopIfTrue="1">
      <formula>AG21="Land"</formula>
    </cfRule>
  </conditionalFormatting>
  <conditionalFormatting sqref="AF32">
    <cfRule type="expression" dxfId="1644" priority="717" stopIfTrue="1">
      <formula>AF22="Water"</formula>
    </cfRule>
    <cfRule type="expression" dxfId="1643" priority="718" stopIfTrue="1">
      <formula>AG32="Water"</formula>
    </cfRule>
    <cfRule type="expression" dxfId="1642" priority="719" stopIfTrue="1">
      <formula>AG32="Land"</formula>
    </cfRule>
    <cfRule type="expression" dxfId="1641" priority="720" stopIfTrue="1">
      <formula>AF22="Land"</formula>
    </cfRule>
  </conditionalFormatting>
  <conditionalFormatting sqref="AF22:AF31">
    <cfRule type="expression" dxfId="1640" priority="715" stopIfTrue="1">
      <formula>AF22="Water"</formula>
    </cfRule>
    <cfRule type="expression" dxfId="1639" priority="716" stopIfTrue="1">
      <formula>AF22="Land"</formula>
    </cfRule>
  </conditionalFormatting>
  <conditionalFormatting sqref="AQ22:AQ31">
    <cfRule type="expression" dxfId="1638" priority="713" stopIfTrue="1">
      <formula>AQ22="Water"</formula>
    </cfRule>
    <cfRule type="expression" dxfId="1637" priority="714" stopIfTrue="1">
      <formula>AQ22="Land"</formula>
    </cfRule>
  </conditionalFormatting>
  <conditionalFormatting sqref="AQ21">
    <cfRule type="expression" dxfId="1636" priority="709" stopIfTrue="1">
      <formula>AQ22="Water"</formula>
    </cfRule>
    <cfRule type="expression" dxfId="1635" priority="710" stopIfTrue="1">
      <formula>AG21="Water"</formula>
    </cfRule>
    <cfRule type="expression" dxfId="1634" priority="711" stopIfTrue="1">
      <formula>AG21="Land"</formula>
    </cfRule>
    <cfRule type="expression" dxfId="1633" priority="712" stopIfTrue="1">
      <formula>AQ22="Land"</formula>
    </cfRule>
  </conditionalFormatting>
  <conditionalFormatting sqref="AF21">
    <cfRule type="expression" dxfId="1632" priority="705" stopIfTrue="1">
      <formula>AG21="Water"</formula>
    </cfRule>
    <cfRule type="expression" dxfId="1631" priority="706" stopIfTrue="1">
      <formula>AF22="Water"</formula>
    </cfRule>
    <cfRule type="expression" dxfId="1630" priority="707" stopIfTrue="1">
      <formula>AG21="Land"</formula>
    </cfRule>
    <cfRule type="expression" dxfId="1629" priority="708" stopIfTrue="1">
      <formula>AF22="Land"</formula>
    </cfRule>
  </conditionalFormatting>
  <conditionalFormatting sqref="AH23:AO30">
    <cfRule type="expression" dxfId="1628" priority="704">
      <formula>AH23&lt;&gt;""</formula>
    </cfRule>
  </conditionalFormatting>
  <conditionalFormatting sqref="H35:O35">
    <cfRule type="expression" dxfId="1627" priority="703">
      <formula>H35="City Wall"</formula>
    </cfRule>
  </conditionalFormatting>
  <conditionalFormatting sqref="H44:O44">
    <cfRule type="expression" dxfId="1626" priority="702">
      <formula>H44="City Wall"</formula>
    </cfRule>
  </conditionalFormatting>
  <conditionalFormatting sqref="G36:G43">
    <cfRule type="expression" dxfId="1625" priority="701">
      <formula>G36="City Wall"</formula>
    </cfRule>
  </conditionalFormatting>
  <conditionalFormatting sqref="P36:P43">
    <cfRule type="expression" dxfId="1624" priority="700">
      <formula>P36="City Wall"</formula>
    </cfRule>
  </conditionalFormatting>
  <conditionalFormatting sqref="G35">
    <cfRule type="expression" dxfId="1623" priority="698">
      <formula>G36="City Wall"</formula>
    </cfRule>
    <cfRule type="expression" dxfId="1622" priority="699">
      <formula>H35="City Wall"</formula>
    </cfRule>
  </conditionalFormatting>
  <conditionalFormatting sqref="P35">
    <cfRule type="expression" dxfId="1621" priority="696">
      <formula>P36="City Wall"</formula>
    </cfRule>
    <cfRule type="expression" dxfId="1620" priority="697">
      <formula>H35="City Wall"</formula>
    </cfRule>
  </conditionalFormatting>
  <conditionalFormatting sqref="P44">
    <cfRule type="expression" dxfId="1619" priority="694">
      <formula>H44="City Wall"</formula>
    </cfRule>
    <cfRule type="expression" dxfId="1618" priority="695">
      <formula>P36="City Wall"</formula>
    </cfRule>
  </conditionalFormatting>
  <conditionalFormatting sqref="G44">
    <cfRule type="expression" dxfId="1617" priority="692">
      <formula>G36="City Wall"</formula>
    </cfRule>
    <cfRule type="expression" dxfId="1616" priority="693">
      <formula>H44="City Wall"</formula>
    </cfRule>
  </conditionalFormatting>
  <conditionalFormatting sqref="G45:P45">
    <cfRule type="expression" dxfId="1615" priority="690">
      <formula>G45="Land"</formula>
    </cfRule>
    <cfRule type="expression" dxfId="1614" priority="691">
      <formula>G45="Water"</formula>
    </cfRule>
  </conditionalFormatting>
  <conditionalFormatting sqref="Q45">
    <cfRule type="expression" dxfId="1613" priority="686" stopIfTrue="1">
      <formula>Q35="Water"</formula>
    </cfRule>
    <cfRule type="expression" dxfId="1612" priority="687" stopIfTrue="1">
      <formula>G45="Water"</formula>
    </cfRule>
    <cfRule type="expression" dxfId="1611" priority="688" stopIfTrue="1">
      <formula>G45="Land"</formula>
    </cfRule>
    <cfRule type="expression" dxfId="1610" priority="689" stopIfTrue="1">
      <formula>Q35="Land"</formula>
    </cfRule>
  </conditionalFormatting>
  <conditionalFormatting sqref="G34:P34">
    <cfRule type="expression" dxfId="1609" priority="684" stopIfTrue="1">
      <formula>G34="Water"</formula>
    </cfRule>
    <cfRule type="expression" dxfId="1608" priority="685" stopIfTrue="1">
      <formula>G34="Land"</formula>
    </cfRule>
  </conditionalFormatting>
  <conditionalFormatting sqref="F45">
    <cfRule type="expression" dxfId="1607" priority="680" stopIfTrue="1">
      <formula>F35="Water"</formula>
    </cfRule>
    <cfRule type="expression" dxfId="1606" priority="681" stopIfTrue="1">
      <formula>G45="Water"</formula>
    </cfRule>
    <cfRule type="expression" dxfId="1605" priority="682" stopIfTrue="1">
      <formula>G45="Land"</formula>
    </cfRule>
    <cfRule type="expression" dxfId="1604" priority="683" stopIfTrue="1">
      <formula>F35="Land"</formula>
    </cfRule>
  </conditionalFormatting>
  <conditionalFormatting sqref="F35:F44">
    <cfRule type="expression" dxfId="1603" priority="678" stopIfTrue="1">
      <formula>F35="Water"</formula>
    </cfRule>
    <cfRule type="expression" dxfId="1602" priority="679" stopIfTrue="1">
      <formula>F35="Land"</formula>
    </cfRule>
  </conditionalFormatting>
  <conditionalFormatting sqref="Q35:Q44">
    <cfRule type="expression" dxfId="1601" priority="676" stopIfTrue="1">
      <formula>Q35="Water"</formula>
    </cfRule>
    <cfRule type="expression" dxfId="1600" priority="677" stopIfTrue="1">
      <formula>Q35="Land"</formula>
    </cfRule>
  </conditionalFormatting>
  <conditionalFormatting sqref="Q34">
    <cfRule type="expression" dxfId="1599" priority="672" stopIfTrue="1">
      <formula>Q35="Water"</formula>
    </cfRule>
    <cfRule type="expression" dxfId="1598" priority="673" stopIfTrue="1">
      <formula>G34="Water"</formula>
    </cfRule>
    <cfRule type="expression" dxfId="1597" priority="674" stopIfTrue="1">
      <formula>G34="Land"</formula>
    </cfRule>
    <cfRule type="expression" dxfId="1596" priority="675" stopIfTrue="1">
      <formula>Q35="Land"</formula>
    </cfRule>
  </conditionalFormatting>
  <conditionalFormatting sqref="F34">
    <cfRule type="expression" dxfId="1595" priority="668" stopIfTrue="1">
      <formula>G34="Water"</formula>
    </cfRule>
    <cfRule type="expression" dxfId="1594" priority="669" stopIfTrue="1">
      <formula>F35="Water"</formula>
    </cfRule>
    <cfRule type="expression" dxfId="1593" priority="670" stopIfTrue="1">
      <formula>G34="Land"</formula>
    </cfRule>
    <cfRule type="expression" dxfId="1592" priority="671" stopIfTrue="1">
      <formula>F35="Land"</formula>
    </cfRule>
  </conditionalFormatting>
  <conditionalFormatting sqref="H36:O43">
    <cfRule type="expression" dxfId="1591" priority="667">
      <formula>H36&lt;&gt;""</formula>
    </cfRule>
  </conditionalFormatting>
  <conditionalFormatting sqref="U35:AB35">
    <cfRule type="expression" dxfId="1590" priority="666">
      <formula>U35="City Wall"</formula>
    </cfRule>
  </conditionalFormatting>
  <conditionalFormatting sqref="U44:AB44">
    <cfRule type="expression" dxfId="1589" priority="665">
      <formula>U44="City Wall"</formula>
    </cfRule>
  </conditionalFormatting>
  <conditionalFormatting sqref="T36:T43">
    <cfRule type="expression" dxfId="1588" priority="664">
      <formula>T36="City Wall"</formula>
    </cfRule>
  </conditionalFormatting>
  <conditionalFormatting sqref="AC36:AC43">
    <cfRule type="expression" dxfId="1587" priority="663">
      <formula>AC36="City Wall"</formula>
    </cfRule>
  </conditionalFormatting>
  <conditionalFormatting sqref="T35">
    <cfRule type="expression" dxfId="1586" priority="661">
      <formula>T36="City Wall"</formula>
    </cfRule>
    <cfRule type="expression" dxfId="1585" priority="662">
      <formula>U35="City Wall"</formula>
    </cfRule>
  </conditionalFormatting>
  <conditionalFormatting sqref="AC35">
    <cfRule type="expression" dxfId="1584" priority="659">
      <formula>AC36="City Wall"</formula>
    </cfRule>
    <cfRule type="expression" dxfId="1583" priority="660">
      <formula>U35="City Wall"</formula>
    </cfRule>
  </conditionalFormatting>
  <conditionalFormatting sqref="AC44">
    <cfRule type="expression" dxfId="1582" priority="657">
      <formula>U44="City Wall"</formula>
    </cfRule>
    <cfRule type="expression" dxfId="1581" priority="658">
      <formula>AC36="City Wall"</formula>
    </cfRule>
  </conditionalFormatting>
  <conditionalFormatting sqref="T44">
    <cfRule type="expression" dxfId="1580" priority="655">
      <formula>T36="City Wall"</formula>
    </cfRule>
    <cfRule type="expression" dxfId="1579" priority="656">
      <formula>U44="City Wall"</formula>
    </cfRule>
  </conditionalFormatting>
  <conditionalFormatting sqref="T45:AC45">
    <cfRule type="expression" dxfId="1578" priority="653">
      <formula>T45="Land"</formula>
    </cfRule>
    <cfRule type="expression" dxfId="1577" priority="654">
      <formula>T45="Water"</formula>
    </cfRule>
  </conditionalFormatting>
  <conditionalFormatting sqref="AD45">
    <cfRule type="expression" dxfId="1576" priority="649" stopIfTrue="1">
      <formula>AD35="Water"</formula>
    </cfRule>
    <cfRule type="expression" dxfId="1575" priority="650" stopIfTrue="1">
      <formula>T45="Water"</formula>
    </cfRule>
    <cfRule type="expression" dxfId="1574" priority="651" stopIfTrue="1">
      <formula>T45="Land"</formula>
    </cfRule>
    <cfRule type="expression" dxfId="1573" priority="652" stopIfTrue="1">
      <formula>AD35="Land"</formula>
    </cfRule>
  </conditionalFormatting>
  <conditionalFormatting sqref="T34:AC34">
    <cfRule type="expression" dxfId="1572" priority="647" stopIfTrue="1">
      <formula>T34="Water"</formula>
    </cfRule>
    <cfRule type="expression" dxfId="1571" priority="648" stopIfTrue="1">
      <formula>T34="Land"</formula>
    </cfRule>
  </conditionalFormatting>
  <conditionalFormatting sqref="S45">
    <cfRule type="expression" dxfId="1570" priority="643" stopIfTrue="1">
      <formula>S35="Water"</formula>
    </cfRule>
    <cfRule type="expression" dxfId="1569" priority="644" stopIfTrue="1">
      <formula>T45="Water"</formula>
    </cfRule>
    <cfRule type="expression" dxfId="1568" priority="645" stopIfTrue="1">
      <formula>T45="Land"</formula>
    </cfRule>
    <cfRule type="expression" dxfId="1567" priority="646" stopIfTrue="1">
      <formula>S35="Land"</formula>
    </cfRule>
  </conditionalFormatting>
  <conditionalFormatting sqref="S35:S44">
    <cfRule type="expression" dxfId="1566" priority="641" stopIfTrue="1">
      <formula>S35="Water"</formula>
    </cfRule>
    <cfRule type="expression" dxfId="1565" priority="642" stopIfTrue="1">
      <formula>S35="Land"</formula>
    </cfRule>
  </conditionalFormatting>
  <conditionalFormatting sqref="AD35:AD44">
    <cfRule type="expression" dxfId="1564" priority="639" stopIfTrue="1">
      <formula>AD35="Water"</formula>
    </cfRule>
    <cfRule type="expression" dxfId="1563" priority="640" stopIfTrue="1">
      <formula>AD35="Land"</formula>
    </cfRule>
  </conditionalFormatting>
  <conditionalFormatting sqref="AD34">
    <cfRule type="expression" dxfId="1562" priority="635" stopIfTrue="1">
      <formula>AD35="Water"</formula>
    </cfRule>
    <cfRule type="expression" dxfId="1561" priority="636" stopIfTrue="1">
      <formula>T34="Water"</formula>
    </cfRule>
    <cfRule type="expression" dxfId="1560" priority="637" stopIfTrue="1">
      <formula>T34="Land"</formula>
    </cfRule>
    <cfRule type="expression" dxfId="1559" priority="638" stopIfTrue="1">
      <formula>AD35="Land"</formula>
    </cfRule>
  </conditionalFormatting>
  <conditionalFormatting sqref="S34">
    <cfRule type="expression" dxfId="1558" priority="631" stopIfTrue="1">
      <formula>T34="Water"</formula>
    </cfRule>
    <cfRule type="expression" dxfId="1557" priority="632" stopIfTrue="1">
      <formula>S35="Water"</formula>
    </cfRule>
    <cfRule type="expression" dxfId="1556" priority="633" stopIfTrue="1">
      <formula>T34="Land"</formula>
    </cfRule>
    <cfRule type="expression" dxfId="1555" priority="634" stopIfTrue="1">
      <formula>S35="Land"</formula>
    </cfRule>
  </conditionalFormatting>
  <conditionalFormatting sqref="U36:AB43">
    <cfRule type="expression" dxfId="1554" priority="630">
      <formula>U36&lt;&gt;""</formula>
    </cfRule>
  </conditionalFormatting>
  <conditionalFormatting sqref="AH35:AO35">
    <cfRule type="expression" dxfId="1553" priority="629">
      <formula>AH35="City Wall"</formula>
    </cfRule>
  </conditionalFormatting>
  <conditionalFormatting sqref="AH44:AO44">
    <cfRule type="expression" dxfId="1552" priority="628">
      <formula>AH44="City Wall"</formula>
    </cfRule>
  </conditionalFormatting>
  <conditionalFormatting sqref="AG36:AG43">
    <cfRule type="expression" dxfId="1551" priority="627">
      <formula>AG36="City Wall"</formula>
    </cfRule>
  </conditionalFormatting>
  <conditionalFormatting sqref="AP36:AP43">
    <cfRule type="expression" dxfId="1550" priority="626">
      <formula>AP36="City Wall"</formula>
    </cfRule>
  </conditionalFormatting>
  <conditionalFormatting sqref="AG35">
    <cfRule type="expression" dxfId="1549" priority="624">
      <formula>AG36="City Wall"</formula>
    </cfRule>
    <cfRule type="expression" dxfId="1548" priority="625">
      <formula>AH35="City Wall"</formula>
    </cfRule>
  </conditionalFormatting>
  <conditionalFormatting sqref="AP35">
    <cfRule type="expression" dxfId="1547" priority="622">
      <formula>AP36="City Wall"</formula>
    </cfRule>
    <cfRule type="expression" dxfId="1546" priority="623">
      <formula>AH35="City Wall"</formula>
    </cfRule>
  </conditionalFormatting>
  <conditionalFormatting sqref="AP44">
    <cfRule type="expression" dxfId="1545" priority="620">
      <formula>AH44="City Wall"</formula>
    </cfRule>
    <cfRule type="expression" dxfId="1544" priority="621">
      <formula>AP36="City Wall"</formula>
    </cfRule>
  </conditionalFormatting>
  <conditionalFormatting sqref="AG44">
    <cfRule type="expression" dxfId="1543" priority="618">
      <formula>AG36="City Wall"</formula>
    </cfRule>
    <cfRule type="expression" dxfId="1542" priority="619">
      <formula>AH44="City Wall"</formula>
    </cfRule>
  </conditionalFormatting>
  <conditionalFormatting sqref="AG45:AP45">
    <cfRule type="expression" dxfId="1541" priority="616">
      <formula>AG45="Land"</formula>
    </cfRule>
    <cfRule type="expression" dxfId="1540" priority="617">
      <formula>AG45="Water"</formula>
    </cfRule>
  </conditionalFormatting>
  <conditionalFormatting sqref="AQ45">
    <cfRule type="expression" dxfId="1539" priority="612" stopIfTrue="1">
      <formula>AQ35="Water"</formula>
    </cfRule>
    <cfRule type="expression" dxfId="1538" priority="613" stopIfTrue="1">
      <formula>AG45="Water"</formula>
    </cfRule>
    <cfRule type="expression" dxfId="1537" priority="614" stopIfTrue="1">
      <formula>AG45="Land"</formula>
    </cfRule>
    <cfRule type="expression" dxfId="1536" priority="615" stopIfTrue="1">
      <formula>AQ35="Land"</formula>
    </cfRule>
  </conditionalFormatting>
  <conditionalFormatting sqref="AG34:AP34">
    <cfRule type="expression" dxfId="1535" priority="610" stopIfTrue="1">
      <formula>AG34="Water"</formula>
    </cfRule>
    <cfRule type="expression" dxfId="1534" priority="611" stopIfTrue="1">
      <formula>AG34="Land"</formula>
    </cfRule>
  </conditionalFormatting>
  <conditionalFormatting sqref="AF45">
    <cfRule type="expression" dxfId="1533" priority="606" stopIfTrue="1">
      <formula>AF35="Water"</formula>
    </cfRule>
    <cfRule type="expression" dxfId="1532" priority="607" stopIfTrue="1">
      <formula>AG45="Water"</formula>
    </cfRule>
    <cfRule type="expression" dxfId="1531" priority="608" stopIfTrue="1">
      <formula>AG45="Land"</formula>
    </cfRule>
    <cfRule type="expression" dxfId="1530" priority="609" stopIfTrue="1">
      <formula>AF35="Land"</formula>
    </cfRule>
  </conditionalFormatting>
  <conditionalFormatting sqref="AF35:AF44">
    <cfRule type="expression" dxfId="1529" priority="604" stopIfTrue="1">
      <formula>AF35="Water"</formula>
    </cfRule>
    <cfRule type="expression" dxfId="1528" priority="605" stopIfTrue="1">
      <formula>AF35="Land"</formula>
    </cfRule>
  </conditionalFormatting>
  <conditionalFormatting sqref="AQ35:AQ44">
    <cfRule type="expression" dxfId="1527" priority="602" stopIfTrue="1">
      <formula>AQ35="Water"</formula>
    </cfRule>
    <cfRule type="expression" dxfId="1526" priority="603" stopIfTrue="1">
      <formula>AQ35="Land"</formula>
    </cfRule>
  </conditionalFormatting>
  <conditionalFormatting sqref="AQ34">
    <cfRule type="expression" dxfId="1525" priority="598" stopIfTrue="1">
      <formula>AQ35="Water"</formula>
    </cfRule>
    <cfRule type="expression" dxfId="1524" priority="599" stopIfTrue="1">
      <formula>AG34="Water"</formula>
    </cfRule>
    <cfRule type="expression" dxfId="1523" priority="600" stopIfTrue="1">
      <formula>AG34="Land"</formula>
    </cfRule>
    <cfRule type="expression" dxfId="1522" priority="601" stopIfTrue="1">
      <formula>AQ35="Land"</formula>
    </cfRule>
  </conditionalFormatting>
  <conditionalFormatting sqref="AF34">
    <cfRule type="expression" dxfId="1521" priority="594" stopIfTrue="1">
      <formula>AG34="Water"</formula>
    </cfRule>
    <cfRule type="expression" dxfId="1520" priority="595" stopIfTrue="1">
      <formula>AF35="Water"</formula>
    </cfRule>
    <cfRule type="expression" dxfId="1519" priority="596" stopIfTrue="1">
      <formula>AG34="Land"</formula>
    </cfRule>
    <cfRule type="expression" dxfId="1518" priority="597" stopIfTrue="1">
      <formula>AF35="Land"</formula>
    </cfRule>
  </conditionalFormatting>
  <conditionalFormatting sqref="AH36:AO43">
    <cfRule type="expression" dxfId="1517" priority="593">
      <formula>AH36&lt;&gt;""</formula>
    </cfRule>
  </conditionalFormatting>
  <conditionalFormatting sqref="H48:O48">
    <cfRule type="expression" dxfId="1516" priority="592">
      <formula>H48="City Wall"</formula>
    </cfRule>
  </conditionalFormatting>
  <conditionalFormatting sqref="H57:O57">
    <cfRule type="expression" dxfId="1515" priority="591">
      <formula>H57="City Wall"</formula>
    </cfRule>
  </conditionalFormatting>
  <conditionalFormatting sqref="G49:G56">
    <cfRule type="expression" dxfId="1514" priority="590">
      <formula>G49="City Wall"</formula>
    </cfRule>
  </conditionalFormatting>
  <conditionalFormatting sqref="P49:P56">
    <cfRule type="expression" dxfId="1513" priority="589">
      <formula>P49="City Wall"</formula>
    </cfRule>
  </conditionalFormatting>
  <conditionalFormatting sqref="G48">
    <cfRule type="expression" dxfId="1512" priority="587">
      <formula>G49="City Wall"</formula>
    </cfRule>
    <cfRule type="expression" dxfId="1511" priority="588">
      <formula>H48="City Wall"</formula>
    </cfRule>
  </conditionalFormatting>
  <conditionalFormatting sqref="P48">
    <cfRule type="expression" dxfId="1510" priority="585">
      <formula>P49="City Wall"</formula>
    </cfRule>
    <cfRule type="expression" dxfId="1509" priority="586">
      <formula>H48="City Wall"</formula>
    </cfRule>
  </conditionalFormatting>
  <conditionalFormatting sqref="P57">
    <cfRule type="expression" dxfId="1508" priority="583">
      <formula>H57="City Wall"</formula>
    </cfRule>
    <cfRule type="expression" dxfId="1507" priority="584">
      <formula>P49="City Wall"</formula>
    </cfRule>
  </conditionalFormatting>
  <conditionalFormatting sqref="G57">
    <cfRule type="expression" dxfId="1506" priority="581">
      <formula>G49="City Wall"</formula>
    </cfRule>
    <cfRule type="expression" dxfId="1505" priority="582">
      <formula>H57="City Wall"</formula>
    </cfRule>
  </conditionalFormatting>
  <conditionalFormatting sqref="G58:P58">
    <cfRule type="expression" dxfId="1504" priority="579">
      <formula>G58="Land"</formula>
    </cfRule>
    <cfRule type="expression" dxfId="1503" priority="580">
      <formula>G58="Water"</formula>
    </cfRule>
  </conditionalFormatting>
  <conditionalFormatting sqref="Q58">
    <cfRule type="expression" dxfId="1502" priority="575" stopIfTrue="1">
      <formula>Q48="Water"</formula>
    </cfRule>
    <cfRule type="expression" dxfId="1501" priority="576" stopIfTrue="1">
      <formula>G58="Water"</formula>
    </cfRule>
    <cfRule type="expression" dxfId="1500" priority="577" stopIfTrue="1">
      <formula>G58="Land"</formula>
    </cfRule>
    <cfRule type="expression" dxfId="1499" priority="578" stopIfTrue="1">
      <formula>Q48="Land"</formula>
    </cfRule>
  </conditionalFormatting>
  <conditionalFormatting sqref="G47:P47">
    <cfRule type="expression" dxfId="1498" priority="573" stopIfTrue="1">
      <formula>G47="Water"</formula>
    </cfRule>
    <cfRule type="expression" dxfId="1497" priority="574" stopIfTrue="1">
      <formula>G47="Land"</formula>
    </cfRule>
  </conditionalFormatting>
  <conditionalFormatting sqref="F58">
    <cfRule type="expression" dxfId="1496" priority="569" stopIfTrue="1">
      <formula>F48="Water"</formula>
    </cfRule>
    <cfRule type="expression" dxfId="1495" priority="570" stopIfTrue="1">
      <formula>G58="Water"</formula>
    </cfRule>
    <cfRule type="expression" dxfId="1494" priority="571" stopIfTrue="1">
      <formula>G58="Land"</formula>
    </cfRule>
    <cfRule type="expression" dxfId="1493" priority="572" stopIfTrue="1">
      <formula>F48="Land"</formula>
    </cfRule>
  </conditionalFormatting>
  <conditionalFormatting sqref="F48:F57">
    <cfRule type="expression" dxfId="1492" priority="567" stopIfTrue="1">
      <formula>F48="Water"</formula>
    </cfRule>
    <cfRule type="expression" dxfId="1491" priority="568" stopIfTrue="1">
      <formula>F48="Land"</formula>
    </cfRule>
  </conditionalFormatting>
  <conditionalFormatting sqref="Q48:Q57">
    <cfRule type="expression" dxfId="1490" priority="565" stopIfTrue="1">
      <formula>Q48="Water"</formula>
    </cfRule>
    <cfRule type="expression" dxfId="1489" priority="566" stopIfTrue="1">
      <formula>Q48="Land"</formula>
    </cfRule>
  </conditionalFormatting>
  <conditionalFormatting sqref="Q47">
    <cfRule type="expression" dxfId="1488" priority="561" stopIfTrue="1">
      <formula>Q48="Water"</formula>
    </cfRule>
    <cfRule type="expression" dxfId="1487" priority="562" stopIfTrue="1">
      <formula>G47="Water"</formula>
    </cfRule>
    <cfRule type="expression" dxfId="1486" priority="563" stopIfTrue="1">
      <formula>G47="Land"</formula>
    </cfRule>
    <cfRule type="expression" dxfId="1485" priority="564" stopIfTrue="1">
      <formula>Q48="Land"</formula>
    </cfRule>
  </conditionalFormatting>
  <conditionalFormatting sqref="F47">
    <cfRule type="expression" dxfId="1484" priority="557" stopIfTrue="1">
      <formula>G47="Water"</formula>
    </cfRule>
    <cfRule type="expression" dxfId="1483" priority="558" stopIfTrue="1">
      <formula>F48="Water"</formula>
    </cfRule>
    <cfRule type="expression" dxfId="1482" priority="559" stopIfTrue="1">
      <formula>G47="Land"</formula>
    </cfRule>
    <cfRule type="expression" dxfId="1481" priority="560" stopIfTrue="1">
      <formula>F48="Land"</formula>
    </cfRule>
  </conditionalFormatting>
  <conditionalFormatting sqref="H49:O56">
    <cfRule type="expression" dxfId="1480" priority="556">
      <formula>H49&lt;&gt;""</formula>
    </cfRule>
  </conditionalFormatting>
  <conditionalFormatting sqref="U48:AB48">
    <cfRule type="expression" dxfId="1479" priority="555">
      <formula>U48="City Wall"</formula>
    </cfRule>
  </conditionalFormatting>
  <conditionalFormatting sqref="U57:AB57">
    <cfRule type="expression" dxfId="1478" priority="554">
      <formula>U57="City Wall"</formula>
    </cfRule>
  </conditionalFormatting>
  <conditionalFormatting sqref="T49:T56">
    <cfRule type="expression" dxfId="1477" priority="553">
      <formula>T49="City Wall"</formula>
    </cfRule>
  </conditionalFormatting>
  <conditionalFormatting sqref="AC49:AC56">
    <cfRule type="expression" dxfId="1476" priority="552">
      <formula>AC49="City Wall"</formula>
    </cfRule>
  </conditionalFormatting>
  <conditionalFormatting sqref="T48">
    <cfRule type="expression" dxfId="1475" priority="550">
      <formula>T49="City Wall"</formula>
    </cfRule>
    <cfRule type="expression" dxfId="1474" priority="551">
      <formula>U48="City Wall"</formula>
    </cfRule>
  </conditionalFormatting>
  <conditionalFormatting sqref="AC48">
    <cfRule type="expression" dxfId="1473" priority="548">
      <formula>AC49="City Wall"</formula>
    </cfRule>
    <cfRule type="expression" dxfId="1472" priority="549">
      <formula>U48="City Wall"</formula>
    </cfRule>
  </conditionalFormatting>
  <conditionalFormatting sqref="AC57">
    <cfRule type="expression" dxfId="1471" priority="546">
      <formula>U57="City Wall"</formula>
    </cfRule>
    <cfRule type="expression" dxfId="1470" priority="547">
      <formula>AC49="City Wall"</formula>
    </cfRule>
  </conditionalFormatting>
  <conditionalFormatting sqref="T57">
    <cfRule type="expression" dxfId="1469" priority="544">
      <formula>T49="City Wall"</formula>
    </cfRule>
    <cfRule type="expression" dxfId="1468" priority="545">
      <formula>U57="City Wall"</formula>
    </cfRule>
  </conditionalFormatting>
  <conditionalFormatting sqref="T58:AC58">
    <cfRule type="expression" dxfId="1467" priority="542">
      <formula>T58="Land"</formula>
    </cfRule>
    <cfRule type="expression" dxfId="1466" priority="543">
      <formula>T58="Water"</formula>
    </cfRule>
  </conditionalFormatting>
  <conditionalFormatting sqref="AD58">
    <cfRule type="expression" dxfId="1465" priority="538" stopIfTrue="1">
      <formula>AD48="Water"</formula>
    </cfRule>
    <cfRule type="expression" dxfId="1464" priority="539" stopIfTrue="1">
      <formula>T58="Water"</formula>
    </cfRule>
    <cfRule type="expression" dxfId="1463" priority="540" stopIfTrue="1">
      <formula>T58="Land"</formula>
    </cfRule>
    <cfRule type="expression" dxfId="1462" priority="541" stopIfTrue="1">
      <formula>AD48="Land"</formula>
    </cfRule>
  </conditionalFormatting>
  <conditionalFormatting sqref="T47:AC47">
    <cfRule type="expression" dxfId="1461" priority="536" stopIfTrue="1">
      <formula>T47="Water"</formula>
    </cfRule>
    <cfRule type="expression" dxfId="1460" priority="537" stopIfTrue="1">
      <formula>T47="Land"</formula>
    </cfRule>
  </conditionalFormatting>
  <conditionalFormatting sqref="S58">
    <cfRule type="expression" dxfId="1459" priority="532" stopIfTrue="1">
      <formula>S48="Water"</formula>
    </cfRule>
    <cfRule type="expression" dxfId="1458" priority="533" stopIfTrue="1">
      <formula>T58="Water"</formula>
    </cfRule>
    <cfRule type="expression" dxfId="1457" priority="534" stopIfTrue="1">
      <formula>T58="Land"</formula>
    </cfRule>
    <cfRule type="expression" dxfId="1456" priority="535" stopIfTrue="1">
      <formula>S48="Land"</formula>
    </cfRule>
  </conditionalFormatting>
  <conditionalFormatting sqref="S48:S57">
    <cfRule type="expression" dxfId="1455" priority="530" stopIfTrue="1">
      <formula>S48="Water"</formula>
    </cfRule>
    <cfRule type="expression" dxfId="1454" priority="531" stopIfTrue="1">
      <formula>S48="Land"</formula>
    </cfRule>
  </conditionalFormatting>
  <conditionalFormatting sqref="AD48:AD57">
    <cfRule type="expression" dxfId="1453" priority="528" stopIfTrue="1">
      <formula>AD48="Water"</formula>
    </cfRule>
    <cfRule type="expression" dxfId="1452" priority="529" stopIfTrue="1">
      <formula>AD48="Land"</formula>
    </cfRule>
  </conditionalFormatting>
  <conditionalFormatting sqref="AD47">
    <cfRule type="expression" dxfId="1451" priority="524" stopIfTrue="1">
      <formula>AD48="Water"</formula>
    </cfRule>
    <cfRule type="expression" dxfId="1450" priority="525" stopIfTrue="1">
      <formula>T47="Water"</formula>
    </cfRule>
    <cfRule type="expression" dxfId="1449" priority="526" stopIfTrue="1">
      <formula>T47="Land"</formula>
    </cfRule>
    <cfRule type="expression" dxfId="1448" priority="527" stopIfTrue="1">
      <formula>AD48="Land"</formula>
    </cfRule>
  </conditionalFormatting>
  <conditionalFormatting sqref="S47">
    <cfRule type="expression" dxfId="1447" priority="520" stopIfTrue="1">
      <formula>T47="Water"</formula>
    </cfRule>
    <cfRule type="expression" dxfId="1446" priority="521" stopIfTrue="1">
      <formula>S48="Water"</formula>
    </cfRule>
    <cfRule type="expression" dxfId="1445" priority="522" stopIfTrue="1">
      <formula>T47="Land"</formula>
    </cfRule>
    <cfRule type="expression" dxfId="1444" priority="523" stopIfTrue="1">
      <formula>S48="Land"</formula>
    </cfRule>
  </conditionalFormatting>
  <conditionalFormatting sqref="U49:AB56">
    <cfRule type="expression" dxfId="1443" priority="519">
      <formula>U49&lt;&gt;""</formula>
    </cfRule>
  </conditionalFormatting>
  <conditionalFormatting sqref="AH48:AO48">
    <cfRule type="expression" dxfId="1442" priority="518">
      <formula>AH48="City Wall"</formula>
    </cfRule>
  </conditionalFormatting>
  <conditionalFormatting sqref="AH57:AO57">
    <cfRule type="expression" dxfId="1441" priority="517">
      <formula>AH57="City Wall"</formula>
    </cfRule>
  </conditionalFormatting>
  <conditionalFormatting sqref="AG49:AG56">
    <cfRule type="expression" dxfId="1440" priority="516">
      <formula>AG49="City Wall"</formula>
    </cfRule>
  </conditionalFormatting>
  <conditionalFormatting sqref="AP49:AP56">
    <cfRule type="expression" dxfId="1439" priority="515">
      <formula>AP49="City Wall"</formula>
    </cfRule>
  </conditionalFormatting>
  <conditionalFormatting sqref="AG48">
    <cfRule type="expression" dxfId="1438" priority="513">
      <formula>AG49="City Wall"</formula>
    </cfRule>
    <cfRule type="expression" dxfId="1437" priority="514">
      <formula>AH48="City Wall"</formula>
    </cfRule>
  </conditionalFormatting>
  <conditionalFormatting sqref="AP48">
    <cfRule type="expression" dxfId="1436" priority="511">
      <formula>AP49="City Wall"</formula>
    </cfRule>
    <cfRule type="expression" dxfId="1435" priority="512">
      <formula>AH48="City Wall"</formula>
    </cfRule>
  </conditionalFormatting>
  <conditionalFormatting sqref="AP57">
    <cfRule type="expression" dxfId="1434" priority="509">
      <formula>AH57="City Wall"</formula>
    </cfRule>
    <cfRule type="expression" dxfId="1433" priority="510">
      <formula>AP49="City Wall"</formula>
    </cfRule>
  </conditionalFormatting>
  <conditionalFormatting sqref="AG57">
    <cfRule type="expression" dxfId="1432" priority="507">
      <formula>AG49="City Wall"</formula>
    </cfRule>
    <cfRule type="expression" dxfId="1431" priority="508">
      <formula>AH57="City Wall"</formula>
    </cfRule>
  </conditionalFormatting>
  <conditionalFormatting sqref="AG58:AP58">
    <cfRule type="expression" dxfId="1430" priority="505">
      <formula>AG58="Land"</formula>
    </cfRule>
    <cfRule type="expression" dxfId="1429" priority="506">
      <formula>AG58="Water"</formula>
    </cfRule>
  </conditionalFormatting>
  <conditionalFormatting sqref="AQ58">
    <cfRule type="expression" dxfId="1428" priority="501" stopIfTrue="1">
      <formula>AQ48="Water"</formula>
    </cfRule>
    <cfRule type="expression" dxfId="1427" priority="502" stopIfTrue="1">
      <formula>AG58="Water"</formula>
    </cfRule>
    <cfRule type="expression" dxfId="1426" priority="503" stopIfTrue="1">
      <formula>AG58="Land"</formula>
    </cfRule>
    <cfRule type="expression" dxfId="1425" priority="504" stopIfTrue="1">
      <formula>AQ48="Land"</formula>
    </cfRule>
  </conditionalFormatting>
  <conditionalFormatting sqref="AG47:AP47">
    <cfRule type="expression" dxfId="1424" priority="499" stopIfTrue="1">
      <formula>AG47="Water"</formula>
    </cfRule>
    <cfRule type="expression" dxfId="1423" priority="500" stopIfTrue="1">
      <formula>AG47="Land"</formula>
    </cfRule>
  </conditionalFormatting>
  <conditionalFormatting sqref="AF58">
    <cfRule type="expression" dxfId="1422" priority="495" stopIfTrue="1">
      <formula>AF48="Water"</formula>
    </cfRule>
    <cfRule type="expression" dxfId="1421" priority="496" stopIfTrue="1">
      <formula>AG58="Water"</formula>
    </cfRule>
    <cfRule type="expression" dxfId="1420" priority="497" stopIfTrue="1">
      <formula>AG58="Land"</formula>
    </cfRule>
    <cfRule type="expression" dxfId="1419" priority="498" stopIfTrue="1">
      <formula>AF48="Land"</formula>
    </cfRule>
  </conditionalFormatting>
  <conditionalFormatting sqref="AF48:AF57">
    <cfRule type="expression" dxfId="1418" priority="493" stopIfTrue="1">
      <formula>AF48="Water"</formula>
    </cfRule>
    <cfRule type="expression" dxfId="1417" priority="494" stopIfTrue="1">
      <formula>AF48="Land"</formula>
    </cfRule>
  </conditionalFormatting>
  <conditionalFormatting sqref="AQ48:AQ57">
    <cfRule type="expression" dxfId="1416" priority="491" stopIfTrue="1">
      <formula>AQ48="Water"</formula>
    </cfRule>
    <cfRule type="expression" dxfId="1415" priority="492" stopIfTrue="1">
      <formula>AQ48="Land"</formula>
    </cfRule>
  </conditionalFormatting>
  <conditionalFormatting sqref="AQ47">
    <cfRule type="expression" dxfId="1414" priority="487" stopIfTrue="1">
      <formula>AQ48="Water"</formula>
    </cfRule>
    <cfRule type="expression" dxfId="1413" priority="488" stopIfTrue="1">
      <formula>AG47="Water"</formula>
    </cfRule>
    <cfRule type="expression" dxfId="1412" priority="489" stopIfTrue="1">
      <formula>AG47="Land"</formula>
    </cfRule>
    <cfRule type="expression" dxfId="1411" priority="490" stopIfTrue="1">
      <formula>AQ48="Land"</formula>
    </cfRule>
  </conditionalFormatting>
  <conditionalFormatting sqref="AF47">
    <cfRule type="expression" dxfId="1410" priority="483" stopIfTrue="1">
      <formula>AG47="Water"</formula>
    </cfRule>
    <cfRule type="expression" dxfId="1409" priority="484" stopIfTrue="1">
      <formula>AF48="Water"</formula>
    </cfRule>
    <cfRule type="expression" dxfId="1408" priority="485" stopIfTrue="1">
      <formula>AG47="Land"</formula>
    </cfRule>
    <cfRule type="expression" dxfId="1407" priority="486" stopIfTrue="1">
      <formula>AF48="Land"</formula>
    </cfRule>
  </conditionalFormatting>
  <conditionalFormatting sqref="AH49:AO56">
    <cfRule type="expression" dxfId="1406" priority="482">
      <formula>AH49&lt;&gt;""</formula>
    </cfRule>
  </conditionalFormatting>
  <conditionalFormatting sqref="AU9:BB9">
    <cfRule type="expression" dxfId="1405" priority="481">
      <formula>AU9="City Wall"</formula>
    </cfRule>
  </conditionalFormatting>
  <conditionalFormatting sqref="AU18:BB18">
    <cfRule type="expression" dxfId="1404" priority="480">
      <formula>AU18="City Wall"</formula>
    </cfRule>
  </conditionalFormatting>
  <conditionalFormatting sqref="AT10:AT17">
    <cfRule type="expression" dxfId="1403" priority="479">
      <formula>AT10="City Wall"</formula>
    </cfRule>
  </conditionalFormatting>
  <conditionalFormatting sqref="BC10:BC17">
    <cfRule type="expression" dxfId="1402" priority="478">
      <formula>BC10="City Wall"</formula>
    </cfRule>
  </conditionalFormatting>
  <conditionalFormatting sqref="AT9">
    <cfRule type="expression" dxfId="1401" priority="476">
      <formula>AT10="City Wall"</formula>
    </cfRule>
    <cfRule type="expression" dxfId="1400" priority="477">
      <formula>AU9="City Wall"</formula>
    </cfRule>
  </conditionalFormatting>
  <conditionalFormatting sqref="BC9">
    <cfRule type="expression" dxfId="1399" priority="474">
      <formula>BC10="City Wall"</formula>
    </cfRule>
    <cfRule type="expression" dxfId="1398" priority="475">
      <formula>AU9="City Wall"</formula>
    </cfRule>
  </conditionalFormatting>
  <conditionalFormatting sqref="BC18">
    <cfRule type="expression" dxfId="1397" priority="472">
      <formula>AU18="City Wall"</formula>
    </cfRule>
    <cfRule type="expression" dxfId="1396" priority="473">
      <formula>BC10="City Wall"</formula>
    </cfRule>
  </conditionalFormatting>
  <conditionalFormatting sqref="AT18">
    <cfRule type="expression" dxfId="1395" priority="470">
      <formula>AT10="City Wall"</formula>
    </cfRule>
    <cfRule type="expression" dxfId="1394" priority="471">
      <formula>AU18="City Wall"</formula>
    </cfRule>
  </conditionalFormatting>
  <conditionalFormatting sqref="AT19:BC19">
    <cfRule type="expression" dxfId="1393" priority="468">
      <formula>AT19="Land"</formula>
    </cfRule>
    <cfRule type="expression" dxfId="1392" priority="469">
      <formula>AT19="Water"</formula>
    </cfRule>
  </conditionalFormatting>
  <conditionalFormatting sqref="BD19">
    <cfRule type="expression" dxfId="1391" priority="464" stopIfTrue="1">
      <formula>BD9="Water"</formula>
    </cfRule>
    <cfRule type="expression" dxfId="1390" priority="465" stopIfTrue="1">
      <formula>AT19="Water"</formula>
    </cfRule>
    <cfRule type="expression" dxfId="1389" priority="466" stopIfTrue="1">
      <formula>AT19="Land"</formula>
    </cfRule>
    <cfRule type="expression" dxfId="1388" priority="467" stopIfTrue="1">
      <formula>BD9="Land"</formula>
    </cfRule>
  </conditionalFormatting>
  <conditionalFormatting sqref="AT8:BC8">
    <cfRule type="expression" dxfId="1387" priority="462" stopIfTrue="1">
      <formula>AT8="Water"</formula>
    </cfRule>
    <cfRule type="expression" dxfId="1386" priority="463" stopIfTrue="1">
      <formula>AT8="Land"</formula>
    </cfRule>
  </conditionalFormatting>
  <conditionalFormatting sqref="AS19">
    <cfRule type="expression" dxfId="1385" priority="458" stopIfTrue="1">
      <formula>AS9="Water"</formula>
    </cfRule>
    <cfRule type="expression" dxfId="1384" priority="459" stopIfTrue="1">
      <formula>AT19="Water"</formula>
    </cfRule>
    <cfRule type="expression" dxfId="1383" priority="460" stopIfTrue="1">
      <formula>AT19="Land"</formula>
    </cfRule>
    <cfRule type="expression" dxfId="1382" priority="461" stopIfTrue="1">
      <formula>AS9="Land"</formula>
    </cfRule>
  </conditionalFormatting>
  <conditionalFormatting sqref="AS9:AS18">
    <cfRule type="expression" dxfId="1381" priority="456" stopIfTrue="1">
      <formula>AS9="Water"</formula>
    </cfRule>
    <cfRule type="expression" dxfId="1380" priority="457" stopIfTrue="1">
      <formula>AS9="Land"</formula>
    </cfRule>
  </conditionalFormatting>
  <conditionalFormatting sqref="BD9:BD18">
    <cfRule type="expression" dxfId="1379" priority="454" stopIfTrue="1">
      <formula>BD9="Water"</formula>
    </cfRule>
    <cfRule type="expression" dxfId="1378" priority="455" stopIfTrue="1">
      <formula>BD9="Land"</formula>
    </cfRule>
  </conditionalFormatting>
  <conditionalFormatting sqref="BD8">
    <cfRule type="expression" dxfId="1377" priority="450" stopIfTrue="1">
      <formula>BD9="Water"</formula>
    </cfRule>
    <cfRule type="expression" dxfId="1376" priority="451" stopIfTrue="1">
      <formula>AT8="Water"</formula>
    </cfRule>
    <cfRule type="expression" dxfId="1375" priority="452" stopIfTrue="1">
      <formula>AT8="Land"</formula>
    </cfRule>
    <cfRule type="expression" dxfId="1374" priority="453" stopIfTrue="1">
      <formula>BD9="Land"</formula>
    </cfRule>
  </conditionalFormatting>
  <conditionalFormatting sqref="AS8">
    <cfRule type="expression" dxfId="1373" priority="446" stopIfTrue="1">
      <formula>AT8="Water"</formula>
    </cfRule>
    <cfRule type="expression" dxfId="1372" priority="447" stopIfTrue="1">
      <formula>AS9="Water"</formula>
    </cfRule>
    <cfRule type="expression" dxfId="1371" priority="448" stopIfTrue="1">
      <formula>AT8="Land"</formula>
    </cfRule>
    <cfRule type="expression" dxfId="1370" priority="449" stopIfTrue="1">
      <formula>AS9="Land"</formula>
    </cfRule>
  </conditionalFormatting>
  <conditionalFormatting sqref="AU10:BB17">
    <cfRule type="expression" dxfId="1369" priority="445">
      <formula>AU10&lt;&gt;""</formula>
    </cfRule>
  </conditionalFormatting>
  <conditionalFormatting sqref="AU22:BB22">
    <cfRule type="expression" dxfId="1368" priority="444">
      <formula>AU22="City Wall"</formula>
    </cfRule>
  </conditionalFormatting>
  <conditionalFormatting sqref="AU31:BB31">
    <cfRule type="expression" dxfId="1367" priority="443">
      <formula>AU31="City Wall"</formula>
    </cfRule>
  </conditionalFormatting>
  <conditionalFormatting sqref="AT23:AT30">
    <cfRule type="expression" dxfId="1366" priority="442">
      <formula>AT23="City Wall"</formula>
    </cfRule>
  </conditionalFormatting>
  <conditionalFormatting sqref="BC23:BC30">
    <cfRule type="expression" dxfId="1365" priority="441">
      <formula>BC23="City Wall"</formula>
    </cfRule>
  </conditionalFormatting>
  <conditionalFormatting sqref="AT22">
    <cfRule type="expression" dxfId="1364" priority="439">
      <formula>AT23="City Wall"</formula>
    </cfRule>
    <cfRule type="expression" dxfId="1363" priority="440">
      <formula>AU22="City Wall"</formula>
    </cfRule>
  </conditionalFormatting>
  <conditionalFormatting sqref="BC22">
    <cfRule type="expression" dxfId="1362" priority="437">
      <formula>BC23="City Wall"</formula>
    </cfRule>
    <cfRule type="expression" dxfId="1361" priority="438">
      <formula>AU22="City Wall"</formula>
    </cfRule>
  </conditionalFormatting>
  <conditionalFormatting sqref="BC31">
    <cfRule type="expression" dxfId="1360" priority="435">
      <formula>AU31="City Wall"</formula>
    </cfRule>
    <cfRule type="expression" dxfId="1359" priority="436">
      <formula>BC23="City Wall"</formula>
    </cfRule>
  </conditionalFormatting>
  <conditionalFormatting sqref="AT31">
    <cfRule type="expression" dxfId="1358" priority="433">
      <formula>AT23="City Wall"</formula>
    </cfRule>
    <cfRule type="expression" dxfId="1357" priority="434">
      <formula>AU31="City Wall"</formula>
    </cfRule>
  </conditionalFormatting>
  <conditionalFormatting sqref="AT32:BC32">
    <cfRule type="expression" dxfId="1356" priority="431">
      <formula>AT32="Land"</formula>
    </cfRule>
    <cfRule type="expression" dxfId="1355" priority="432">
      <formula>AT32="Water"</formula>
    </cfRule>
  </conditionalFormatting>
  <conditionalFormatting sqref="BD32">
    <cfRule type="expression" dxfId="1354" priority="427" stopIfTrue="1">
      <formula>BD22="Water"</formula>
    </cfRule>
    <cfRule type="expression" dxfId="1353" priority="428" stopIfTrue="1">
      <formula>AT32="Water"</formula>
    </cfRule>
    <cfRule type="expression" dxfId="1352" priority="429" stopIfTrue="1">
      <formula>AT32="Land"</formula>
    </cfRule>
    <cfRule type="expression" dxfId="1351" priority="430" stopIfTrue="1">
      <formula>BD22="Land"</formula>
    </cfRule>
  </conditionalFormatting>
  <conditionalFormatting sqref="AT21:BC21">
    <cfRule type="expression" dxfId="1350" priority="425" stopIfTrue="1">
      <formula>AT21="Water"</formula>
    </cfRule>
    <cfRule type="expression" dxfId="1349" priority="426" stopIfTrue="1">
      <formula>AT21="Land"</formula>
    </cfRule>
  </conditionalFormatting>
  <conditionalFormatting sqref="AS32">
    <cfRule type="expression" dxfId="1348" priority="421" stopIfTrue="1">
      <formula>AS22="Water"</formula>
    </cfRule>
    <cfRule type="expression" dxfId="1347" priority="422" stopIfTrue="1">
      <formula>AT32="Water"</formula>
    </cfRule>
    <cfRule type="expression" dxfId="1346" priority="423" stopIfTrue="1">
      <formula>AT32="Land"</formula>
    </cfRule>
    <cfRule type="expression" dxfId="1345" priority="424" stopIfTrue="1">
      <formula>AS22="Land"</formula>
    </cfRule>
  </conditionalFormatting>
  <conditionalFormatting sqref="AS22:AS31">
    <cfRule type="expression" dxfId="1344" priority="419" stopIfTrue="1">
      <formula>AS22="Water"</formula>
    </cfRule>
    <cfRule type="expression" dxfId="1343" priority="420" stopIfTrue="1">
      <formula>AS22="Land"</formula>
    </cfRule>
  </conditionalFormatting>
  <conditionalFormatting sqref="BD22:BD31">
    <cfRule type="expression" dxfId="1342" priority="417" stopIfTrue="1">
      <formula>BD22="Water"</formula>
    </cfRule>
    <cfRule type="expression" dxfId="1341" priority="418" stopIfTrue="1">
      <formula>BD22="Land"</formula>
    </cfRule>
  </conditionalFormatting>
  <conditionalFormatting sqref="BD21">
    <cfRule type="expression" dxfId="1340" priority="413" stopIfTrue="1">
      <formula>BD22="Water"</formula>
    </cfRule>
    <cfRule type="expression" dxfId="1339" priority="414" stopIfTrue="1">
      <formula>AT21="Water"</formula>
    </cfRule>
    <cfRule type="expression" dxfId="1338" priority="415" stopIfTrue="1">
      <formula>AT21="Land"</formula>
    </cfRule>
    <cfRule type="expression" dxfId="1337" priority="416" stopIfTrue="1">
      <formula>BD22="Land"</formula>
    </cfRule>
  </conditionalFormatting>
  <conditionalFormatting sqref="AS21">
    <cfRule type="expression" dxfId="1336" priority="409" stopIfTrue="1">
      <formula>AT21="Water"</formula>
    </cfRule>
    <cfRule type="expression" dxfId="1335" priority="410" stopIfTrue="1">
      <formula>AS22="Water"</formula>
    </cfRule>
    <cfRule type="expression" dxfId="1334" priority="411" stopIfTrue="1">
      <formula>AT21="Land"</formula>
    </cfRule>
    <cfRule type="expression" dxfId="1333" priority="412" stopIfTrue="1">
      <formula>AS22="Land"</formula>
    </cfRule>
  </conditionalFormatting>
  <conditionalFormatting sqref="AU23:BB30">
    <cfRule type="expression" dxfId="1332" priority="408">
      <formula>AU23&lt;&gt;""</formula>
    </cfRule>
  </conditionalFormatting>
  <conditionalFormatting sqref="AU35:BB35">
    <cfRule type="expression" dxfId="1331" priority="407">
      <formula>AU35="City Wall"</formula>
    </cfRule>
  </conditionalFormatting>
  <conditionalFormatting sqref="AU44:BB44">
    <cfRule type="expression" dxfId="1330" priority="406">
      <formula>AU44="City Wall"</formula>
    </cfRule>
  </conditionalFormatting>
  <conditionalFormatting sqref="AT36:AT43">
    <cfRule type="expression" dxfId="1329" priority="405">
      <formula>AT36="City Wall"</formula>
    </cfRule>
  </conditionalFormatting>
  <conditionalFormatting sqref="BC36:BC43">
    <cfRule type="expression" dxfId="1328" priority="404">
      <formula>BC36="City Wall"</formula>
    </cfRule>
  </conditionalFormatting>
  <conditionalFormatting sqref="AT35">
    <cfRule type="expression" dxfId="1327" priority="402">
      <formula>AT36="City Wall"</formula>
    </cfRule>
    <cfRule type="expression" dxfId="1326" priority="403">
      <formula>AU35="City Wall"</formula>
    </cfRule>
  </conditionalFormatting>
  <conditionalFormatting sqref="BC35">
    <cfRule type="expression" dxfId="1325" priority="400">
      <formula>BC36="City Wall"</formula>
    </cfRule>
    <cfRule type="expression" dxfId="1324" priority="401">
      <formula>AU35="City Wall"</formula>
    </cfRule>
  </conditionalFormatting>
  <conditionalFormatting sqref="BC44">
    <cfRule type="expression" dxfId="1323" priority="398">
      <formula>AU44="City Wall"</formula>
    </cfRule>
    <cfRule type="expression" dxfId="1322" priority="399">
      <formula>BC36="City Wall"</formula>
    </cfRule>
  </conditionalFormatting>
  <conditionalFormatting sqref="AT44">
    <cfRule type="expression" dxfId="1321" priority="396">
      <formula>AT36="City Wall"</formula>
    </cfRule>
    <cfRule type="expression" dxfId="1320" priority="397">
      <formula>AU44="City Wall"</formula>
    </cfRule>
  </conditionalFormatting>
  <conditionalFormatting sqref="AT45:BC45">
    <cfRule type="expression" dxfId="1319" priority="394">
      <formula>AT45="Land"</formula>
    </cfRule>
    <cfRule type="expression" dxfId="1318" priority="395">
      <formula>AT45="Water"</formula>
    </cfRule>
  </conditionalFormatting>
  <conditionalFormatting sqref="BD45">
    <cfRule type="expression" dxfId="1317" priority="390" stopIfTrue="1">
      <formula>BD35="Water"</formula>
    </cfRule>
    <cfRule type="expression" dxfId="1316" priority="391" stopIfTrue="1">
      <formula>AT45="Water"</formula>
    </cfRule>
    <cfRule type="expression" dxfId="1315" priority="392" stopIfTrue="1">
      <formula>AT45="Land"</formula>
    </cfRule>
    <cfRule type="expression" dxfId="1314" priority="393" stopIfTrue="1">
      <formula>BD35="Land"</formula>
    </cfRule>
  </conditionalFormatting>
  <conditionalFormatting sqref="AT34:BC34">
    <cfRule type="expression" dxfId="1313" priority="388" stopIfTrue="1">
      <formula>AT34="Water"</formula>
    </cfRule>
    <cfRule type="expression" dxfId="1312" priority="389" stopIfTrue="1">
      <formula>AT34="Land"</formula>
    </cfRule>
  </conditionalFormatting>
  <conditionalFormatting sqref="AS45">
    <cfRule type="expression" dxfId="1311" priority="384" stopIfTrue="1">
      <formula>AS35="Water"</formula>
    </cfRule>
    <cfRule type="expression" dxfId="1310" priority="385" stopIfTrue="1">
      <formula>AT45="Water"</formula>
    </cfRule>
    <cfRule type="expression" dxfId="1309" priority="386" stopIfTrue="1">
      <formula>AT45="Land"</formula>
    </cfRule>
    <cfRule type="expression" dxfId="1308" priority="387" stopIfTrue="1">
      <formula>AS35="Land"</formula>
    </cfRule>
  </conditionalFormatting>
  <conditionalFormatting sqref="AS35:AS44">
    <cfRule type="expression" dxfId="1307" priority="382" stopIfTrue="1">
      <formula>AS35="Water"</formula>
    </cfRule>
    <cfRule type="expression" dxfId="1306" priority="383" stopIfTrue="1">
      <formula>AS35="Land"</formula>
    </cfRule>
  </conditionalFormatting>
  <conditionalFormatting sqref="BD35:BD44">
    <cfRule type="expression" dxfId="1305" priority="380" stopIfTrue="1">
      <formula>BD35="Water"</formula>
    </cfRule>
    <cfRule type="expression" dxfId="1304" priority="381" stopIfTrue="1">
      <formula>BD35="Land"</formula>
    </cfRule>
  </conditionalFormatting>
  <conditionalFormatting sqref="BD34">
    <cfRule type="expression" dxfId="1303" priority="376" stopIfTrue="1">
      <formula>BD35="Water"</formula>
    </cfRule>
    <cfRule type="expression" dxfId="1302" priority="377" stopIfTrue="1">
      <formula>AT34="Water"</formula>
    </cfRule>
    <cfRule type="expression" dxfId="1301" priority="378" stopIfTrue="1">
      <formula>AT34="Land"</formula>
    </cfRule>
    <cfRule type="expression" dxfId="1300" priority="379" stopIfTrue="1">
      <formula>BD35="Land"</formula>
    </cfRule>
  </conditionalFormatting>
  <conditionalFormatting sqref="AS34">
    <cfRule type="expression" dxfId="1299" priority="372" stopIfTrue="1">
      <formula>AT34="Water"</formula>
    </cfRule>
    <cfRule type="expression" dxfId="1298" priority="373" stopIfTrue="1">
      <formula>AS35="Water"</formula>
    </cfRule>
    <cfRule type="expression" dxfId="1297" priority="374" stopIfTrue="1">
      <formula>AT34="Land"</formula>
    </cfRule>
    <cfRule type="expression" dxfId="1296" priority="375" stopIfTrue="1">
      <formula>AS35="Land"</formula>
    </cfRule>
  </conditionalFormatting>
  <conditionalFormatting sqref="AU36:BB43">
    <cfRule type="expression" dxfId="1295" priority="371">
      <formula>AU36&lt;&gt;""</formula>
    </cfRule>
  </conditionalFormatting>
  <conditionalFormatting sqref="AU48:BB48">
    <cfRule type="expression" dxfId="1294" priority="370">
      <formula>AU48="City Wall"</formula>
    </cfRule>
  </conditionalFormatting>
  <conditionalFormatting sqref="AU57:BB57">
    <cfRule type="expression" dxfId="1293" priority="369">
      <formula>AU57="City Wall"</formula>
    </cfRule>
  </conditionalFormatting>
  <conditionalFormatting sqref="AT49:AT56">
    <cfRule type="expression" dxfId="1292" priority="368">
      <formula>AT49="City Wall"</formula>
    </cfRule>
  </conditionalFormatting>
  <conditionalFormatting sqref="BC49:BC56">
    <cfRule type="expression" dxfId="1291" priority="367">
      <formula>BC49="City Wall"</formula>
    </cfRule>
  </conditionalFormatting>
  <conditionalFormatting sqref="AT48">
    <cfRule type="expression" dxfId="1290" priority="365">
      <formula>AT49="City Wall"</formula>
    </cfRule>
    <cfRule type="expression" dxfId="1289" priority="366">
      <formula>AU48="City Wall"</formula>
    </cfRule>
  </conditionalFormatting>
  <conditionalFormatting sqref="BC48">
    <cfRule type="expression" dxfId="1288" priority="363">
      <formula>BC49="City Wall"</formula>
    </cfRule>
    <cfRule type="expression" dxfId="1287" priority="364">
      <formula>AU48="City Wall"</formula>
    </cfRule>
  </conditionalFormatting>
  <conditionalFormatting sqref="BC57">
    <cfRule type="expression" dxfId="1286" priority="361">
      <formula>AU57="City Wall"</formula>
    </cfRule>
    <cfRule type="expression" dxfId="1285" priority="362">
      <formula>BC49="City Wall"</formula>
    </cfRule>
  </conditionalFormatting>
  <conditionalFormatting sqref="AT57">
    <cfRule type="expression" dxfId="1284" priority="359">
      <formula>AT49="City Wall"</formula>
    </cfRule>
    <cfRule type="expression" dxfId="1283" priority="360">
      <formula>AU57="City Wall"</formula>
    </cfRule>
  </conditionalFormatting>
  <conditionalFormatting sqref="AT58:BC58">
    <cfRule type="expression" dxfId="1282" priority="357">
      <formula>AT58="Land"</formula>
    </cfRule>
    <cfRule type="expression" dxfId="1281" priority="358">
      <formula>AT58="Water"</formula>
    </cfRule>
  </conditionalFormatting>
  <conditionalFormatting sqref="BD58">
    <cfRule type="expression" dxfId="1280" priority="353" stopIfTrue="1">
      <formula>BD48="Water"</formula>
    </cfRule>
    <cfRule type="expression" dxfId="1279" priority="354" stopIfTrue="1">
      <formula>AT58="Water"</formula>
    </cfRule>
    <cfRule type="expression" dxfId="1278" priority="355" stopIfTrue="1">
      <formula>AT58="Land"</formula>
    </cfRule>
    <cfRule type="expression" dxfId="1277" priority="356" stopIfTrue="1">
      <formula>BD48="Land"</formula>
    </cfRule>
  </conditionalFormatting>
  <conditionalFormatting sqref="AT47:BC47">
    <cfRule type="expression" dxfId="1276" priority="351" stopIfTrue="1">
      <formula>AT47="Water"</formula>
    </cfRule>
    <cfRule type="expression" dxfId="1275" priority="352" stopIfTrue="1">
      <formula>AT47="Land"</formula>
    </cfRule>
  </conditionalFormatting>
  <conditionalFormatting sqref="AS58">
    <cfRule type="expression" dxfId="1274" priority="347" stopIfTrue="1">
      <formula>AS48="Water"</formula>
    </cfRule>
    <cfRule type="expression" dxfId="1273" priority="348" stopIfTrue="1">
      <formula>AT58="Water"</formula>
    </cfRule>
    <cfRule type="expression" dxfId="1272" priority="349" stopIfTrue="1">
      <formula>AT58="Land"</formula>
    </cfRule>
    <cfRule type="expression" dxfId="1271" priority="350" stopIfTrue="1">
      <formula>AS48="Land"</formula>
    </cfRule>
  </conditionalFormatting>
  <conditionalFormatting sqref="AS48:AS57">
    <cfRule type="expression" dxfId="1270" priority="345" stopIfTrue="1">
      <formula>AS48="Water"</formula>
    </cfRule>
    <cfRule type="expression" dxfId="1269" priority="346" stopIfTrue="1">
      <formula>AS48="Land"</formula>
    </cfRule>
  </conditionalFormatting>
  <conditionalFormatting sqref="BD48:BD57">
    <cfRule type="expression" dxfId="1268" priority="343" stopIfTrue="1">
      <formula>BD48="Water"</formula>
    </cfRule>
    <cfRule type="expression" dxfId="1267" priority="344" stopIfTrue="1">
      <formula>BD48="Land"</formula>
    </cfRule>
  </conditionalFormatting>
  <conditionalFormatting sqref="BD47">
    <cfRule type="expression" dxfId="1266" priority="339" stopIfTrue="1">
      <formula>BD48="Water"</formula>
    </cfRule>
    <cfRule type="expression" dxfId="1265" priority="340" stopIfTrue="1">
      <formula>AT47="Water"</formula>
    </cfRule>
    <cfRule type="expression" dxfId="1264" priority="341" stopIfTrue="1">
      <formula>AT47="Land"</formula>
    </cfRule>
    <cfRule type="expression" dxfId="1263" priority="342" stopIfTrue="1">
      <formula>BD48="Land"</formula>
    </cfRule>
  </conditionalFormatting>
  <conditionalFormatting sqref="AS47">
    <cfRule type="expression" dxfId="1262" priority="335" stopIfTrue="1">
      <formula>AT47="Water"</formula>
    </cfRule>
    <cfRule type="expression" dxfId="1261" priority="336" stopIfTrue="1">
      <formula>AS48="Water"</formula>
    </cfRule>
    <cfRule type="expression" dxfId="1260" priority="337" stopIfTrue="1">
      <formula>AT47="Land"</formula>
    </cfRule>
    <cfRule type="expression" dxfId="1259" priority="338" stopIfTrue="1">
      <formula>AS48="Land"</formula>
    </cfRule>
  </conditionalFormatting>
  <conditionalFormatting sqref="AU49:BB56">
    <cfRule type="expression" dxfId="1258" priority="334">
      <formula>AU49&lt;&gt;""</formula>
    </cfRule>
  </conditionalFormatting>
  <conditionalFormatting sqref="H61:O61">
    <cfRule type="expression" dxfId="1257" priority="333">
      <formula>H61="City Wall"</formula>
    </cfRule>
  </conditionalFormatting>
  <conditionalFormatting sqref="H70:O70">
    <cfRule type="expression" dxfId="1256" priority="332">
      <formula>H70="City Wall"</formula>
    </cfRule>
  </conditionalFormatting>
  <conditionalFormatting sqref="G62:G69">
    <cfRule type="expression" dxfId="1255" priority="331">
      <formula>G62="City Wall"</formula>
    </cfRule>
  </conditionalFormatting>
  <conditionalFormatting sqref="P62:P69">
    <cfRule type="expression" dxfId="1254" priority="330">
      <formula>P62="City Wall"</formula>
    </cfRule>
  </conditionalFormatting>
  <conditionalFormatting sqref="G61">
    <cfRule type="expression" dxfId="1253" priority="328">
      <formula>G62="City Wall"</formula>
    </cfRule>
    <cfRule type="expression" dxfId="1252" priority="329">
      <formula>H61="City Wall"</formula>
    </cfRule>
  </conditionalFormatting>
  <conditionalFormatting sqref="P61">
    <cfRule type="expression" dxfId="1251" priority="326">
      <formula>P62="City Wall"</formula>
    </cfRule>
    <cfRule type="expression" dxfId="1250" priority="327">
      <formula>H61="City Wall"</formula>
    </cfRule>
  </conditionalFormatting>
  <conditionalFormatting sqref="P70">
    <cfRule type="expression" dxfId="1249" priority="324">
      <formula>H70="City Wall"</formula>
    </cfRule>
    <cfRule type="expression" dxfId="1248" priority="325">
      <formula>P62="City Wall"</formula>
    </cfRule>
  </conditionalFormatting>
  <conditionalFormatting sqref="G70">
    <cfRule type="expression" dxfId="1247" priority="322">
      <formula>G62="City Wall"</formula>
    </cfRule>
    <cfRule type="expression" dxfId="1246" priority="323">
      <formula>H70="City Wall"</formula>
    </cfRule>
  </conditionalFormatting>
  <conditionalFormatting sqref="G71:P71">
    <cfRule type="expression" dxfId="1245" priority="320">
      <formula>G71="Land"</formula>
    </cfRule>
    <cfRule type="expression" dxfId="1244" priority="321">
      <formula>G71="Water"</formula>
    </cfRule>
  </conditionalFormatting>
  <conditionalFormatting sqref="Q71">
    <cfRule type="expression" dxfId="1243" priority="316" stopIfTrue="1">
      <formula>Q61="Water"</formula>
    </cfRule>
    <cfRule type="expression" dxfId="1242" priority="317" stopIfTrue="1">
      <formula>G71="Water"</formula>
    </cfRule>
    <cfRule type="expression" dxfId="1241" priority="318" stopIfTrue="1">
      <formula>G71="Land"</formula>
    </cfRule>
    <cfRule type="expression" dxfId="1240" priority="319" stopIfTrue="1">
      <formula>Q61="Land"</formula>
    </cfRule>
  </conditionalFormatting>
  <conditionalFormatting sqref="G60:P60">
    <cfRule type="expression" dxfId="1239" priority="314" stopIfTrue="1">
      <formula>G60="Water"</formula>
    </cfRule>
    <cfRule type="expression" dxfId="1238" priority="315" stopIfTrue="1">
      <formula>G60="Land"</formula>
    </cfRule>
  </conditionalFormatting>
  <conditionalFormatting sqref="F71">
    <cfRule type="expression" dxfId="1237" priority="310" stopIfTrue="1">
      <formula>F61="Water"</formula>
    </cfRule>
    <cfRule type="expression" dxfId="1236" priority="311" stopIfTrue="1">
      <formula>G71="Water"</formula>
    </cfRule>
    <cfRule type="expression" dxfId="1235" priority="312" stopIfTrue="1">
      <formula>G71="Land"</formula>
    </cfRule>
    <cfRule type="expression" dxfId="1234" priority="313" stopIfTrue="1">
      <formula>F61="Land"</formula>
    </cfRule>
  </conditionalFormatting>
  <conditionalFormatting sqref="F61:F70">
    <cfRule type="expression" dxfId="1233" priority="308" stopIfTrue="1">
      <formula>F61="Water"</formula>
    </cfRule>
    <cfRule type="expression" dxfId="1232" priority="309" stopIfTrue="1">
      <formula>F61="Land"</formula>
    </cfRule>
  </conditionalFormatting>
  <conditionalFormatting sqref="Q61:Q70">
    <cfRule type="expression" dxfId="1231" priority="306" stopIfTrue="1">
      <formula>Q61="Water"</formula>
    </cfRule>
    <cfRule type="expression" dxfId="1230" priority="307" stopIfTrue="1">
      <formula>Q61="Land"</formula>
    </cfRule>
  </conditionalFormatting>
  <conditionalFormatting sqref="Q60">
    <cfRule type="expression" dxfId="1229" priority="302" stopIfTrue="1">
      <formula>Q61="Water"</formula>
    </cfRule>
    <cfRule type="expression" dxfId="1228" priority="303" stopIfTrue="1">
      <formula>G60="Water"</formula>
    </cfRule>
    <cfRule type="expression" dxfId="1227" priority="304" stopIfTrue="1">
      <formula>G60="Land"</formula>
    </cfRule>
    <cfRule type="expression" dxfId="1226" priority="305" stopIfTrue="1">
      <formula>Q61="Land"</formula>
    </cfRule>
  </conditionalFormatting>
  <conditionalFormatting sqref="F60">
    <cfRule type="expression" dxfId="1225" priority="298" stopIfTrue="1">
      <formula>G60="Water"</formula>
    </cfRule>
    <cfRule type="expression" dxfId="1224" priority="299" stopIfTrue="1">
      <formula>F61="Water"</formula>
    </cfRule>
    <cfRule type="expression" dxfId="1223" priority="300" stopIfTrue="1">
      <formula>G60="Land"</formula>
    </cfRule>
    <cfRule type="expression" dxfId="1222" priority="301" stopIfTrue="1">
      <formula>F61="Land"</formula>
    </cfRule>
  </conditionalFormatting>
  <conditionalFormatting sqref="H62:O69">
    <cfRule type="expression" dxfId="1221" priority="297">
      <formula>H62&lt;&gt;""</formula>
    </cfRule>
  </conditionalFormatting>
  <conditionalFormatting sqref="U61:AB61">
    <cfRule type="expression" dxfId="1220" priority="296">
      <formula>U61="City Wall"</formula>
    </cfRule>
  </conditionalFormatting>
  <conditionalFormatting sqref="U70:AB70">
    <cfRule type="expression" dxfId="1219" priority="295">
      <formula>U70="City Wall"</formula>
    </cfRule>
  </conditionalFormatting>
  <conditionalFormatting sqref="T62:T69">
    <cfRule type="expression" dxfId="1218" priority="294">
      <formula>T62="City Wall"</formula>
    </cfRule>
  </conditionalFormatting>
  <conditionalFormatting sqref="AC62:AC69">
    <cfRule type="expression" dxfId="1217" priority="293">
      <formula>AC62="City Wall"</formula>
    </cfRule>
  </conditionalFormatting>
  <conditionalFormatting sqref="T61">
    <cfRule type="expression" dxfId="1216" priority="291">
      <formula>T62="City Wall"</formula>
    </cfRule>
    <cfRule type="expression" dxfId="1215" priority="292">
      <formula>U61="City Wall"</formula>
    </cfRule>
  </conditionalFormatting>
  <conditionalFormatting sqref="AC61">
    <cfRule type="expression" dxfId="1214" priority="289">
      <formula>AC62="City Wall"</formula>
    </cfRule>
    <cfRule type="expression" dxfId="1213" priority="290">
      <formula>U61="City Wall"</formula>
    </cfRule>
  </conditionalFormatting>
  <conditionalFormatting sqref="AC70">
    <cfRule type="expression" dxfId="1212" priority="287">
      <formula>U70="City Wall"</formula>
    </cfRule>
    <cfRule type="expression" dxfId="1211" priority="288">
      <formula>AC62="City Wall"</formula>
    </cfRule>
  </conditionalFormatting>
  <conditionalFormatting sqref="T70">
    <cfRule type="expression" dxfId="1210" priority="285">
      <formula>T62="City Wall"</formula>
    </cfRule>
    <cfRule type="expression" dxfId="1209" priority="286">
      <formula>U70="City Wall"</formula>
    </cfRule>
  </conditionalFormatting>
  <conditionalFormatting sqref="T71:AC71">
    <cfRule type="expression" dxfId="1208" priority="283">
      <formula>T71="Land"</formula>
    </cfRule>
    <cfRule type="expression" dxfId="1207" priority="284">
      <formula>T71="Water"</formula>
    </cfRule>
  </conditionalFormatting>
  <conditionalFormatting sqref="AD71">
    <cfRule type="expression" dxfId="1206" priority="279" stopIfTrue="1">
      <formula>AD61="Water"</formula>
    </cfRule>
    <cfRule type="expression" dxfId="1205" priority="280" stopIfTrue="1">
      <formula>T71="Water"</formula>
    </cfRule>
    <cfRule type="expression" dxfId="1204" priority="281" stopIfTrue="1">
      <formula>T71="Land"</formula>
    </cfRule>
    <cfRule type="expression" dxfId="1203" priority="282" stopIfTrue="1">
      <formula>AD61="Land"</formula>
    </cfRule>
  </conditionalFormatting>
  <conditionalFormatting sqref="T60:AC60">
    <cfRule type="expression" dxfId="1202" priority="277" stopIfTrue="1">
      <formula>T60="Water"</formula>
    </cfRule>
    <cfRule type="expression" dxfId="1201" priority="278" stopIfTrue="1">
      <formula>T60="Land"</formula>
    </cfRule>
  </conditionalFormatting>
  <conditionalFormatting sqref="S71">
    <cfRule type="expression" dxfId="1200" priority="273" stopIfTrue="1">
      <formula>S61="Water"</formula>
    </cfRule>
    <cfRule type="expression" dxfId="1199" priority="274" stopIfTrue="1">
      <formula>T71="Water"</formula>
    </cfRule>
    <cfRule type="expression" dxfId="1198" priority="275" stopIfTrue="1">
      <formula>T71="Land"</formula>
    </cfRule>
    <cfRule type="expression" dxfId="1197" priority="276" stopIfTrue="1">
      <formula>S61="Land"</formula>
    </cfRule>
  </conditionalFormatting>
  <conditionalFormatting sqref="S61:S70">
    <cfRule type="expression" dxfId="1196" priority="271" stopIfTrue="1">
      <formula>S61="Water"</formula>
    </cfRule>
    <cfRule type="expression" dxfId="1195" priority="272" stopIfTrue="1">
      <formula>S61="Land"</formula>
    </cfRule>
  </conditionalFormatting>
  <conditionalFormatting sqref="AD61:AD70">
    <cfRule type="expression" dxfId="1194" priority="269" stopIfTrue="1">
      <formula>AD61="Water"</formula>
    </cfRule>
    <cfRule type="expression" dxfId="1193" priority="270" stopIfTrue="1">
      <formula>AD61="Land"</formula>
    </cfRule>
  </conditionalFormatting>
  <conditionalFormatting sqref="AD60">
    <cfRule type="expression" dxfId="1192" priority="265" stopIfTrue="1">
      <formula>AD61="Water"</formula>
    </cfRule>
    <cfRule type="expression" dxfId="1191" priority="266" stopIfTrue="1">
      <formula>T60="Water"</formula>
    </cfRule>
    <cfRule type="expression" dxfId="1190" priority="267" stopIfTrue="1">
      <formula>T60="Land"</formula>
    </cfRule>
    <cfRule type="expression" dxfId="1189" priority="268" stopIfTrue="1">
      <formula>AD61="Land"</formula>
    </cfRule>
  </conditionalFormatting>
  <conditionalFormatting sqref="S60">
    <cfRule type="expression" dxfId="1188" priority="261" stopIfTrue="1">
      <formula>T60="Water"</formula>
    </cfRule>
    <cfRule type="expression" dxfId="1187" priority="262" stopIfTrue="1">
      <formula>S61="Water"</formula>
    </cfRule>
    <cfRule type="expression" dxfId="1186" priority="263" stopIfTrue="1">
      <formula>T60="Land"</formula>
    </cfRule>
    <cfRule type="expression" dxfId="1185" priority="264" stopIfTrue="1">
      <formula>S61="Land"</formula>
    </cfRule>
  </conditionalFormatting>
  <conditionalFormatting sqref="U62:AB69">
    <cfRule type="expression" dxfId="1184" priority="260">
      <formula>U62&lt;&gt;""</formula>
    </cfRule>
  </conditionalFormatting>
  <conditionalFormatting sqref="AH61:AO61">
    <cfRule type="expression" dxfId="1183" priority="259">
      <formula>AH61="City Wall"</formula>
    </cfRule>
  </conditionalFormatting>
  <conditionalFormatting sqref="AH70:AO70">
    <cfRule type="expression" dxfId="1182" priority="258">
      <formula>AH70="City Wall"</formula>
    </cfRule>
  </conditionalFormatting>
  <conditionalFormatting sqref="AG62:AG69">
    <cfRule type="expression" dxfId="1181" priority="257">
      <formula>AG62="City Wall"</formula>
    </cfRule>
  </conditionalFormatting>
  <conditionalFormatting sqref="AP62:AP69">
    <cfRule type="expression" dxfId="1180" priority="256">
      <formula>AP62="City Wall"</formula>
    </cfRule>
  </conditionalFormatting>
  <conditionalFormatting sqref="AG61">
    <cfRule type="expression" dxfId="1179" priority="254">
      <formula>AG62="City Wall"</formula>
    </cfRule>
    <cfRule type="expression" dxfId="1178" priority="255">
      <formula>AH61="City Wall"</formula>
    </cfRule>
  </conditionalFormatting>
  <conditionalFormatting sqref="AP61">
    <cfRule type="expression" dxfId="1177" priority="252">
      <formula>AP62="City Wall"</formula>
    </cfRule>
    <cfRule type="expression" dxfId="1176" priority="253">
      <formula>AH61="City Wall"</formula>
    </cfRule>
  </conditionalFormatting>
  <conditionalFormatting sqref="AP70">
    <cfRule type="expression" dxfId="1175" priority="250">
      <formula>AH70="City Wall"</formula>
    </cfRule>
    <cfRule type="expression" dxfId="1174" priority="251">
      <formula>AP62="City Wall"</formula>
    </cfRule>
  </conditionalFormatting>
  <conditionalFormatting sqref="AG70">
    <cfRule type="expression" dxfId="1173" priority="248">
      <formula>AG62="City Wall"</formula>
    </cfRule>
    <cfRule type="expression" dxfId="1172" priority="249">
      <formula>AH70="City Wall"</formula>
    </cfRule>
  </conditionalFormatting>
  <conditionalFormatting sqref="AG71:AP71">
    <cfRule type="expression" dxfId="1171" priority="246">
      <formula>AG71="Land"</formula>
    </cfRule>
    <cfRule type="expression" dxfId="1170" priority="247">
      <formula>AG71="Water"</formula>
    </cfRule>
  </conditionalFormatting>
  <conditionalFormatting sqref="AQ71">
    <cfRule type="expression" dxfId="1169" priority="242" stopIfTrue="1">
      <formula>AQ61="Water"</formula>
    </cfRule>
    <cfRule type="expression" dxfId="1168" priority="243" stopIfTrue="1">
      <formula>AG71="Water"</formula>
    </cfRule>
    <cfRule type="expression" dxfId="1167" priority="244" stopIfTrue="1">
      <formula>AG71="Land"</formula>
    </cfRule>
    <cfRule type="expression" dxfId="1166" priority="245" stopIfTrue="1">
      <formula>AQ61="Land"</formula>
    </cfRule>
  </conditionalFormatting>
  <conditionalFormatting sqref="AG60:AP60">
    <cfRule type="expression" dxfId="1165" priority="240" stopIfTrue="1">
      <formula>AG60="Water"</formula>
    </cfRule>
    <cfRule type="expression" dxfId="1164" priority="241" stopIfTrue="1">
      <formula>AG60="Land"</formula>
    </cfRule>
  </conditionalFormatting>
  <conditionalFormatting sqref="AF71">
    <cfRule type="expression" dxfId="1163" priority="236" stopIfTrue="1">
      <formula>AF61="Water"</formula>
    </cfRule>
    <cfRule type="expression" dxfId="1162" priority="237" stopIfTrue="1">
      <formula>AG71="Water"</formula>
    </cfRule>
    <cfRule type="expression" dxfId="1161" priority="238" stopIfTrue="1">
      <formula>AG71="Land"</formula>
    </cfRule>
    <cfRule type="expression" dxfId="1160" priority="239" stopIfTrue="1">
      <formula>AF61="Land"</formula>
    </cfRule>
  </conditionalFormatting>
  <conditionalFormatting sqref="AF61:AF70">
    <cfRule type="expression" dxfId="1159" priority="234" stopIfTrue="1">
      <formula>AF61="Water"</formula>
    </cfRule>
    <cfRule type="expression" dxfId="1158" priority="235" stopIfTrue="1">
      <formula>AF61="Land"</formula>
    </cfRule>
  </conditionalFormatting>
  <conditionalFormatting sqref="AQ61:AQ70">
    <cfRule type="expression" dxfId="1157" priority="232" stopIfTrue="1">
      <formula>AQ61="Water"</formula>
    </cfRule>
    <cfRule type="expression" dxfId="1156" priority="233" stopIfTrue="1">
      <formula>AQ61="Land"</formula>
    </cfRule>
  </conditionalFormatting>
  <conditionalFormatting sqref="AQ60">
    <cfRule type="expression" dxfId="1155" priority="228" stopIfTrue="1">
      <formula>AQ61="Water"</formula>
    </cfRule>
    <cfRule type="expression" dxfId="1154" priority="229" stopIfTrue="1">
      <formula>AG60="Water"</formula>
    </cfRule>
    <cfRule type="expression" dxfId="1153" priority="230" stopIfTrue="1">
      <formula>AG60="Land"</formula>
    </cfRule>
    <cfRule type="expression" dxfId="1152" priority="231" stopIfTrue="1">
      <formula>AQ61="Land"</formula>
    </cfRule>
  </conditionalFormatting>
  <conditionalFormatting sqref="AF60">
    <cfRule type="expression" dxfId="1151" priority="224" stopIfTrue="1">
      <formula>AG60="Water"</formula>
    </cfRule>
    <cfRule type="expression" dxfId="1150" priority="225" stopIfTrue="1">
      <formula>AF61="Water"</formula>
    </cfRule>
    <cfRule type="expression" dxfId="1149" priority="226" stopIfTrue="1">
      <formula>AG60="Land"</formula>
    </cfRule>
    <cfRule type="expression" dxfId="1148" priority="227" stopIfTrue="1">
      <formula>AF61="Land"</formula>
    </cfRule>
  </conditionalFormatting>
  <conditionalFormatting sqref="AH62:AO69">
    <cfRule type="expression" dxfId="1147" priority="223">
      <formula>AH62&lt;&gt;""</formula>
    </cfRule>
  </conditionalFormatting>
  <conditionalFormatting sqref="AU61:BB61">
    <cfRule type="expression" dxfId="1146" priority="222">
      <formula>AU61="City Wall"</formula>
    </cfRule>
  </conditionalFormatting>
  <conditionalFormatting sqref="AU70:BB70">
    <cfRule type="expression" dxfId="1145" priority="221">
      <formula>AU70="City Wall"</formula>
    </cfRule>
  </conditionalFormatting>
  <conditionalFormatting sqref="AT62:AT69">
    <cfRule type="expression" dxfId="1144" priority="220">
      <formula>AT62="City Wall"</formula>
    </cfRule>
  </conditionalFormatting>
  <conditionalFormatting sqref="BC62:BC69">
    <cfRule type="expression" dxfId="1143" priority="219">
      <formula>BC62="City Wall"</formula>
    </cfRule>
  </conditionalFormatting>
  <conditionalFormatting sqref="AT61">
    <cfRule type="expression" dxfId="1142" priority="217">
      <formula>AT62="City Wall"</formula>
    </cfRule>
    <cfRule type="expression" dxfId="1141" priority="218">
      <formula>AU61="City Wall"</formula>
    </cfRule>
  </conditionalFormatting>
  <conditionalFormatting sqref="BC61">
    <cfRule type="expression" dxfId="1140" priority="215">
      <formula>BC62="City Wall"</formula>
    </cfRule>
    <cfRule type="expression" dxfId="1139" priority="216">
      <formula>AU61="City Wall"</formula>
    </cfRule>
  </conditionalFormatting>
  <conditionalFormatting sqref="BC70">
    <cfRule type="expression" dxfId="1138" priority="213">
      <formula>AU70="City Wall"</formula>
    </cfRule>
    <cfRule type="expression" dxfId="1137" priority="214">
      <formula>BC62="City Wall"</formula>
    </cfRule>
  </conditionalFormatting>
  <conditionalFormatting sqref="AT70">
    <cfRule type="expression" dxfId="1136" priority="211">
      <formula>AT62="City Wall"</formula>
    </cfRule>
    <cfRule type="expression" dxfId="1135" priority="212">
      <formula>AU70="City Wall"</formula>
    </cfRule>
  </conditionalFormatting>
  <conditionalFormatting sqref="AT71:BC71">
    <cfRule type="expression" dxfId="1134" priority="209">
      <formula>AT71="Land"</formula>
    </cfRule>
    <cfRule type="expression" dxfId="1133" priority="210">
      <formula>AT71="Water"</formula>
    </cfRule>
  </conditionalFormatting>
  <conditionalFormatting sqref="BD71">
    <cfRule type="expression" dxfId="1132" priority="205" stopIfTrue="1">
      <formula>BD61="Water"</formula>
    </cfRule>
    <cfRule type="expression" dxfId="1131" priority="206" stopIfTrue="1">
      <formula>AT71="Water"</formula>
    </cfRule>
    <cfRule type="expression" dxfId="1130" priority="207" stopIfTrue="1">
      <formula>AT71="Land"</formula>
    </cfRule>
    <cfRule type="expression" dxfId="1129" priority="208" stopIfTrue="1">
      <formula>BD61="Land"</formula>
    </cfRule>
  </conditionalFormatting>
  <conditionalFormatting sqref="AT60:BC60">
    <cfRule type="expression" dxfId="1128" priority="203" stopIfTrue="1">
      <formula>AT60="Water"</formula>
    </cfRule>
    <cfRule type="expression" dxfId="1127" priority="204" stopIfTrue="1">
      <formula>AT60="Land"</formula>
    </cfRule>
  </conditionalFormatting>
  <conditionalFormatting sqref="AS71">
    <cfRule type="expression" dxfId="1126" priority="199" stopIfTrue="1">
      <formula>AS61="Water"</formula>
    </cfRule>
    <cfRule type="expression" dxfId="1125" priority="200" stopIfTrue="1">
      <formula>AT71="Water"</formula>
    </cfRule>
    <cfRule type="expression" dxfId="1124" priority="201" stopIfTrue="1">
      <formula>AT71="Land"</formula>
    </cfRule>
    <cfRule type="expression" dxfId="1123" priority="202" stopIfTrue="1">
      <formula>AS61="Land"</formula>
    </cfRule>
  </conditionalFormatting>
  <conditionalFormatting sqref="AS61:AS70">
    <cfRule type="expression" dxfId="1122" priority="197" stopIfTrue="1">
      <formula>AS61="Water"</formula>
    </cfRule>
    <cfRule type="expression" dxfId="1121" priority="198" stopIfTrue="1">
      <formula>AS61="Land"</formula>
    </cfRule>
  </conditionalFormatting>
  <conditionalFormatting sqref="BD61:BD70">
    <cfRule type="expression" dxfId="1120" priority="195" stopIfTrue="1">
      <formula>BD61="Water"</formula>
    </cfRule>
    <cfRule type="expression" dxfId="1119" priority="196" stopIfTrue="1">
      <formula>BD61="Land"</formula>
    </cfRule>
  </conditionalFormatting>
  <conditionalFormatting sqref="BD60">
    <cfRule type="expression" dxfId="1118" priority="191" stopIfTrue="1">
      <formula>BD61="Water"</formula>
    </cfRule>
    <cfRule type="expression" dxfId="1117" priority="192" stopIfTrue="1">
      <formula>AT60="Water"</formula>
    </cfRule>
    <cfRule type="expression" dxfId="1116" priority="193" stopIfTrue="1">
      <formula>AT60="Land"</formula>
    </cfRule>
    <cfRule type="expression" dxfId="1115" priority="194" stopIfTrue="1">
      <formula>BD61="Land"</formula>
    </cfRule>
  </conditionalFormatting>
  <conditionalFormatting sqref="AS60">
    <cfRule type="expression" dxfId="1114" priority="187" stopIfTrue="1">
      <formula>AT60="Water"</formula>
    </cfRule>
    <cfRule type="expression" dxfId="1113" priority="188" stopIfTrue="1">
      <formula>AS61="Water"</formula>
    </cfRule>
    <cfRule type="expression" dxfId="1112" priority="189" stopIfTrue="1">
      <formula>AT60="Land"</formula>
    </cfRule>
    <cfRule type="expression" dxfId="1111" priority="190" stopIfTrue="1">
      <formula>AS61="Land"</formula>
    </cfRule>
  </conditionalFormatting>
  <conditionalFormatting sqref="AU62:BB69">
    <cfRule type="expression" dxfId="1110" priority="186">
      <formula>AU62&lt;&gt;""</formula>
    </cfRule>
  </conditionalFormatting>
  <conditionalFormatting sqref="BH9:BO9">
    <cfRule type="expression" dxfId="1109" priority="185">
      <formula>BH9="City Wall"</formula>
    </cfRule>
  </conditionalFormatting>
  <conditionalFormatting sqref="BH18:BO18">
    <cfRule type="expression" dxfId="1108" priority="184">
      <formula>BH18="City Wall"</formula>
    </cfRule>
  </conditionalFormatting>
  <conditionalFormatting sqref="BG10:BG17">
    <cfRule type="expression" dxfId="1107" priority="183">
      <formula>BG10="City Wall"</formula>
    </cfRule>
  </conditionalFormatting>
  <conditionalFormatting sqref="BP10:BP17">
    <cfRule type="expression" dxfId="1106" priority="182">
      <formula>BP10="City Wall"</formula>
    </cfRule>
  </conditionalFormatting>
  <conditionalFormatting sqref="BG9">
    <cfRule type="expression" dxfId="1105" priority="180">
      <formula>BG10="City Wall"</formula>
    </cfRule>
    <cfRule type="expression" dxfId="1104" priority="181">
      <formula>BH9="City Wall"</formula>
    </cfRule>
  </conditionalFormatting>
  <conditionalFormatting sqref="BP9">
    <cfRule type="expression" dxfId="1103" priority="178">
      <formula>BP10="City Wall"</formula>
    </cfRule>
    <cfRule type="expression" dxfId="1102" priority="179">
      <formula>BH9="City Wall"</formula>
    </cfRule>
  </conditionalFormatting>
  <conditionalFormatting sqref="BP18">
    <cfRule type="expression" dxfId="1101" priority="176">
      <formula>BH18="City Wall"</formula>
    </cfRule>
    <cfRule type="expression" dxfId="1100" priority="177">
      <formula>BP10="City Wall"</formula>
    </cfRule>
  </conditionalFormatting>
  <conditionalFormatting sqref="BG18">
    <cfRule type="expression" dxfId="1099" priority="174">
      <formula>BG10="City Wall"</formula>
    </cfRule>
    <cfRule type="expression" dxfId="1098" priority="175">
      <formula>BH18="City Wall"</formula>
    </cfRule>
  </conditionalFormatting>
  <conditionalFormatting sqref="BG19:BP19">
    <cfRule type="expression" dxfId="1097" priority="172">
      <formula>BG19="Land"</formula>
    </cfRule>
    <cfRule type="expression" dxfId="1096" priority="173">
      <formula>BG19="Water"</formula>
    </cfRule>
  </conditionalFormatting>
  <conditionalFormatting sqref="BQ19">
    <cfRule type="expression" dxfId="1095" priority="168" stopIfTrue="1">
      <formula>BQ9="Water"</formula>
    </cfRule>
    <cfRule type="expression" dxfId="1094" priority="169" stopIfTrue="1">
      <formula>BG19="Water"</formula>
    </cfRule>
    <cfRule type="expression" dxfId="1093" priority="170" stopIfTrue="1">
      <formula>BG19="Land"</formula>
    </cfRule>
    <cfRule type="expression" dxfId="1092" priority="171" stopIfTrue="1">
      <formula>BQ9="Land"</formula>
    </cfRule>
  </conditionalFormatting>
  <conditionalFormatting sqref="BG8:BP8">
    <cfRule type="expression" dxfId="1091" priority="166" stopIfTrue="1">
      <formula>BG8="Water"</formula>
    </cfRule>
    <cfRule type="expression" dxfId="1090" priority="167" stopIfTrue="1">
      <formula>BG8="Land"</formula>
    </cfRule>
  </conditionalFormatting>
  <conditionalFormatting sqref="BF19">
    <cfRule type="expression" dxfId="1089" priority="162" stopIfTrue="1">
      <formula>BF9="Water"</formula>
    </cfRule>
    <cfRule type="expression" dxfId="1088" priority="163" stopIfTrue="1">
      <formula>BG19="Water"</formula>
    </cfRule>
    <cfRule type="expression" dxfId="1087" priority="164" stopIfTrue="1">
      <formula>BG19="Land"</formula>
    </cfRule>
    <cfRule type="expression" dxfId="1086" priority="165" stopIfTrue="1">
      <formula>BF9="Land"</formula>
    </cfRule>
  </conditionalFormatting>
  <conditionalFormatting sqref="BF9:BF18">
    <cfRule type="expression" dxfId="1085" priority="160" stopIfTrue="1">
      <formula>BF9="Water"</formula>
    </cfRule>
    <cfRule type="expression" dxfId="1084" priority="161" stopIfTrue="1">
      <formula>BF9="Land"</formula>
    </cfRule>
  </conditionalFormatting>
  <conditionalFormatting sqref="BQ9:BQ18">
    <cfRule type="expression" dxfId="1083" priority="158" stopIfTrue="1">
      <formula>BQ9="Water"</formula>
    </cfRule>
    <cfRule type="expression" dxfId="1082" priority="159" stopIfTrue="1">
      <formula>BQ9="Land"</formula>
    </cfRule>
  </conditionalFormatting>
  <conditionalFormatting sqref="BQ8">
    <cfRule type="expression" dxfId="1081" priority="154" stopIfTrue="1">
      <formula>BQ9="Water"</formula>
    </cfRule>
    <cfRule type="expression" dxfId="1080" priority="155" stopIfTrue="1">
      <formula>BG8="Water"</formula>
    </cfRule>
    <cfRule type="expression" dxfId="1079" priority="156" stopIfTrue="1">
      <formula>BG8="Land"</formula>
    </cfRule>
    <cfRule type="expression" dxfId="1078" priority="157" stopIfTrue="1">
      <formula>BQ9="Land"</formula>
    </cfRule>
  </conditionalFormatting>
  <conditionalFormatting sqref="BF8">
    <cfRule type="expression" dxfId="1077" priority="150" stopIfTrue="1">
      <formula>BG8="Water"</formula>
    </cfRule>
    <cfRule type="expression" dxfId="1076" priority="151" stopIfTrue="1">
      <formula>BF9="Water"</formula>
    </cfRule>
    <cfRule type="expression" dxfId="1075" priority="152" stopIfTrue="1">
      <formula>BG8="Land"</formula>
    </cfRule>
    <cfRule type="expression" dxfId="1074" priority="153" stopIfTrue="1">
      <formula>BF9="Land"</formula>
    </cfRule>
  </conditionalFormatting>
  <conditionalFormatting sqref="BH10:BO17">
    <cfRule type="expression" dxfId="1073" priority="149">
      <formula>BH10&lt;&gt;""</formula>
    </cfRule>
  </conditionalFormatting>
  <conditionalFormatting sqref="BH22:BO22">
    <cfRule type="expression" dxfId="1072" priority="148">
      <formula>BH22="City Wall"</formula>
    </cfRule>
  </conditionalFormatting>
  <conditionalFormatting sqref="BH31:BO31">
    <cfRule type="expression" dxfId="1071" priority="147">
      <formula>BH31="City Wall"</formula>
    </cfRule>
  </conditionalFormatting>
  <conditionalFormatting sqref="BG23:BG30">
    <cfRule type="expression" dxfId="1070" priority="146">
      <formula>BG23="City Wall"</formula>
    </cfRule>
  </conditionalFormatting>
  <conditionalFormatting sqref="BP23:BP30">
    <cfRule type="expression" dxfId="1069" priority="145">
      <formula>BP23="City Wall"</formula>
    </cfRule>
  </conditionalFormatting>
  <conditionalFormatting sqref="BG22">
    <cfRule type="expression" dxfId="1068" priority="143">
      <formula>BG23="City Wall"</formula>
    </cfRule>
    <cfRule type="expression" dxfId="1067" priority="144">
      <formula>BH22="City Wall"</formula>
    </cfRule>
  </conditionalFormatting>
  <conditionalFormatting sqref="BP22">
    <cfRule type="expression" dxfId="1066" priority="141">
      <formula>BP23="City Wall"</formula>
    </cfRule>
    <cfRule type="expression" dxfId="1065" priority="142">
      <formula>BH22="City Wall"</formula>
    </cfRule>
  </conditionalFormatting>
  <conditionalFormatting sqref="BP31">
    <cfRule type="expression" dxfId="1064" priority="139">
      <formula>BH31="City Wall"</formula>
    </cfRule>
    <cfRule type="expression" dxfId="1063" priority="140">
      <formula>BP23="City Wall"</formula>
    </cfRule>
  </conditionalFormatting>
  <conditionalFormatting sqref="BG31">
    <cfRule type="expression" dxfId="1062" priority="137">
      <formula>BG23="City Wall"</formula>
    </cfRule>
    <cfRule type="expression" dxfId="1061" priority="138">
      <formula>BH31="City Wall"</formula>
    </cfRule>
  </conditionalFormatting>
  <conditionalFormatting sqref="BG32:BP32">
    <cfRule type="expression" dxfId="1060" priority="135">
      <formula>BG32="Land"</formula>
    </cfRule>
    <cfRule type="expression" dxfId="1059" priority="136">
      <formula>BG32="Water"</formula>
    </cfRule>
  </conditionalFormatting>
  <conditionalFormatting sqref="BQ32">
    <cfRule type="expression" dxfId="1058" priority="131" stopIfTrue="1">
      <formula>BQ22="Water"</formula>
    </cfRule>
    <cfRule type="expression" dxfId="1057" priority="132" stopIfTrue="1">
      <formula>BG32="Water"</formula>
    </cfRule>
    <cfRule type="expression" dxfId="1056" priority="133" stopIfTrue="1">
      <formula>BG32="Land"</formula>
    </cfRule>
    <cfRule type="expression" dxfId="1055" priority="134" stopIfTrue="1">
      <formula>BQ22="Land"</formula>
    </cfRule>
  </conditionalFormatting>
  <conditionalFormatting sqref="BG21:BP21">
    <cfRule type="expression" dxfId="1054" priority="129" stopIfTrue="1">
      <formula>BG21="Water"</formula>
    </cfRule>
    <cfRule type="expression" dxfId="1053" priority="130" stopIfTrue="1">
      <formula>BG21="Land"</formula>
    </cfRule>
  </conditionalFormatting>
  <conditionalFormatting sqref="BF32">
    <cfRule type="expression" dxfId="1052" priority="125" stopIfTrue="1">
      <formula>BF22="Water"</formula>
    </cfRule>
    <cfRule type="expression" dxfId="1051" priority="126" stopIfTrue="1">
      <formula>BG32="Water"</formula>
    </cfRule>
    <cfRule type="expression" dxfId="1050" priority="127" stopIfTrue="1">
      <formula>BG32="Land"</formula>
    </cfRule>
    <cfRule type="expression" dxfId="1049" priority="128" stopIfTrue="1">
      <formula>BF22="Land"</formula>
    </cfRule>
  </conditionalFormatting>
  <conditionalFormatting sqref="BF22:BF31">
    <cfRule type="expression" dxfId="1048" priority="123" stopIfTrue="1">
      <formula>BF22="Water"</formula>
    </cfRule>
    <cfRule type="expression" dxfId="1047" priority="124" stopIfTrue="1">
      <formula>BF22="Land"</formula>
    </cfRule>
  </conditionalFormatting>
  <conditionalFormatting sqref="BQ22:BQ31">
    <cfRule type="expression" dxfId="1046" priority="121" stopIfTrue="1">
      <formula>BQ22="Water"</formula>
    </cfRule>
    <cfRule type="expression" dxfId="1045" priority="122" stopIfTrue="1">
      <formula>BQ22="Land"</formula>
    </cfRule>
  </conditionalFormatting>
  <conditionalFormatting sqref="BQ21">
    <cfRule type="expression" dxfId="1044" priority="117" stopIfTrue="1">
      <formula>BQ22="Water"</formula>
    </cfRule>
    <cfRule type="expression" dxfId="1043" priority="118" stopIfTrue="1">
      <formula>BG21="Water"</formula>
    </cfRule>
    <cfRule type="expression" dxfId="1042" priority="119" stopIfTrue="1">
      <formula>BG21="Land"</formula>
    </cfRule>
    <cfRule type="expression" dxfId="1041" priority="120" stopIfTrue="1">
      <formula>BQ22="Land"</formula>
    </cfRule>
  </conditionalFormatting>
  <conditionalFormatting sqref="BF21">
    <cfRule type="expression" dxfId="1040" priority="113" stopIfTrue="1">
      <formula>BG21="Water"</formula>
    </cfRule>
    <cfRule type="expression" dxfId="1039" priority="114" stopIfTrue="1">
      <formula>BF22="Water"</formula>
    </cfRule>
    <cfRule type="expression" dxfId="1038" priority="115" stopIfTrue="1">
      <formula>BG21="Land"</formula>
    </cfRule>
    <cfRule type="expression" dxfId="1037" priority="116" stopIfTrue="1">
      <formula>BF22="Land"</formula>
    </cfRule>
  </conditionalFormatting>
  <conditionalFormatting sqref="BH23:BO30">
    <cfRule type="expression" dxfId="1036" priority="112">
      <formula>BH23&lt;&gt;""</formula>
    </cfRule>
  </conditionalFormatting>
  <conditionalFormatting sqref="BH35:BO35">
    <cfRule type="expression" dxfId="1035" priority="111">
      <formula>BH35="City Wall"</formula>
    </cfRule>
  </conditionalFormatting>
  <conditionalFormatting sqref="BH44:BO44">
    <cfRule type="expression" dxfId="1034" priority="110">
      <formula>BH44="City Wall"</formula>
    </cfRule>
  </conditionalFormatting>
  <conditionalFormatting sqref="BG36:BG43">
    <cfRule type="expression" dxfId="1033" priority="109">
      <formula>BG36="City Wall"</formula>
    </cfRule>
  </conditionalFormatting>
  <conditionalFormatting sqref="BP36:BP43">
    <cfRule type="expression" dxfId="1032" priority="108">
      <formula>BP36="City Wall"</formula>
    </cfRule>
  </conditionalFormatting>
  <conditionalFormatting sqref="BG35">
    <cfRule type="expression" dxfId="1031" priority="106">
      <formula>BG36="City Wall"</formula>
    </cfRule>
    <cfRule type="expression" dxfId="1030" priority="107">
      <formula>BH35="City Wall"</formula>
    </cfRule>
  </conditionalFormatting>
  <conditionalFormatting sqref="BP35">
    <cfRule type="expression" dxfId="1029" priority="104">
      <formula>BP36="City Wall"</formula>
    </cfRule>
    <cfRule type="expression" dxfId="1028" priority="105">
      <formula>BH35="City Wall"</formula>
    </cfRule>
  </conditionalFormatting>
  <conditionalFormatting sqref="BP44">
    <cfRule type="expression" dxfId="1027" priority="102">
      <formula>BH44="City Wall"</formula>
    </cfRule>
    <cfRule type="expression" dxfId="1026" priority="103">
      <formula>BP36="City Wall"</formula>
    </cfRule>
  </conditionalFormatting>
  <conditionalFormatting sqref="BG44">
    <cfRule type="expression" dxfId="1025" priority="100">
      <formula>BG36="City Wall"</formula>
    </cfRule>
    <cfRule type="expression" dxfId="1024" priority="101">
      <formula>BH44="City Wall"</formula>
    </cfRule>
  </conditionalFormatting>
  <conditionalFormatting sqref="BG45:BP45">
    <cfRule type="expression" dxfId="1023" priority="98">
      <formula>BG45="Land"</formula>
    </cfRule>
    <cfRule type="expression" dxfId="1022" priority="99">
      <formula>BG45="Water"</formula>
    </cfRule>
  </conditionalFormatting>
  <conditionalFormatting sqref="BQ45">
    <cfRule type="expression" dxfId="1021" priority="94" stopIfTrue="1">
      <formula>BQ35="Water"</formula>
    </cfRule>
    <cfRule type="expression" dxfId="1020" priority="95" stopIfTrue="1">
      <formula>BG45="Water"</formula>
    </cfRule>
    <cfRule type="expression" dxfId="1019" priority="96" stopIfTrue="1">
      <formula>BG45="Land"</formula>
    </cfRule>
    <cfRule type="expression" dxfId="1018" priority="97" stopIfTrue="1">
      <formula>BQ35="Land"</formula>
    </cfRule>
  </conditionalFormatting>
  <conditionalFormatting sqref="BG34:BP34">
    <cfRule type="expression" dxfId="1017" priority="92" stopIfTrue="1">
      <formula>BG34="Water"</formula>
    </cfRule>
    <cfRule type="expression" dxfId="1016" priority="93" stopIfTrue="1">
      <formula>BG34="Land"</formula>
    </cfRule>
  </conditionalFormatting>
  <conditionalFormatting sqref="BF45">
    <cfRule type="expression" dxfId="1015" priority="88" stopIfTrue="1">
      <formula>BF35="Water"</formula>
    </cfRule>
    <cfRule type="expression" dxfId="1014" priority="89" stopIfTrue="1">
      <formula>BG45="Water"</formula>
    </cfRule>
    <cfRule type="expression" dxfId="1013" priority="90" stopIfTrue="1">
      <formula>BG45="Land"</formula>
    </cfRule>
    <cfRule type="expression" dxfId="1012" priority="91" stopIfTrue="1">
      <formula>BF35="Land"</formula>
    </cfRule>
  </conditionalFormatting>
  <conditionalFormatting sqref="BF35:BF44">
    <cfRule type="expression" dxfId="1011" priority="86" stopIfTrue="1">
      <formula>BF35="Water"</formula>
    </cfRule>
    <cfRule type="expression" dxfId="1010" priority="87" stopIfTrue="1">
      <formula>BF35="Land"</formula>
    </cfRule>
  </conditionalFormatting>
  <conditionalFormatting sqref="BQ35:BQ44">
    <cfRule type="expression" dxfId="1009" priority="84" stopIfTrue="1">
      <formula>BQ35="Water"</formula>
    </cfRule>
    <cfRule type="expression" dxfId="1008" priority="85" stopIfTrue="1">
      <formula>BQ35="Land"</formula>
    </cfRule>
  </conditionalFormatting>
  <conditionalFormatting sqref="BQ34">
    <cfRule type="expression" dxfId="1007" priority="80" stopIfTrue="1">
      <formula>BQ35="Water"</formula>
    </cfRule>
    <cfRule type="expression" dxfId="1006" priority="81" stopIfTrue="1">
      <formula>BG34="Water"</formula>
    </cfRule>
    <cfRule type="expression" dxfId="1005" priority="82" stopIfTrue="1">
      <formula>BG34="Land"</formula>
    </cfRule>
    <cfRule type="expression" dxfId="1004" priority="83" stopIfTrue="1">
      <formula>BQ35="Land"</formula>
    </cfRule>
  </conditionalFormatting>
  <conditionalFormatting sqref="BF34">
    <cfRule type="expression" dxfId="1003" priority="76" stopIfTrue="1">
      <formula>BG34="Water"</formula>
    </cfRule>
    <cfRule type="expression" dxfId="1002" priority="77" stopIfTrue="1">
      <formula>BF35="Water"</formula>
    </cfRule>
    <cfRule type="expression" dxfId="1001" priority="78" stopIfTrue="1">
      <formula>BG34="Land"</formula>
    </cfRule>
    <cfRule type="expression" dxfId="1000" priority="79" stopIfTrue="1">
      <formula>BF35="Land"</formula>
    </cfRule>
  </conditionalFormatting>
  <conditionalFormatting sqref="BH36:BO43">
    <cfRule type="expression" dxfId="999" priority="75">
      <formula>BH36&lt;&gt;""</formula>
    </cfRule>
  </conditionalFormatting>
  <conditionalFormatting sqref="BH48:BO48">
    <cfRule type="expression" dxfId="998" priority="74">
      <formula>BH48="City Wall"</formula>
    </cfRule>
  </conditionalFormatting>
  <conditionalFormatting sqref="BH57:BO57">
    <cfRule type="expression" dxfId="997" priority="73">
      <formula>BH57="City Wall"</formula>
    </cfRule>
  </conditionalFormatting>
  <conditionalFormatting sqref="BG49:BG56">
    <cfRule type="expression" dxfId="996" priority="72">
      <formula>BG49="City Wall"</formula>
    </cfRule>
  </conditionalFormatting>
  <conditionalFormatting sqref="BP49:BP56">
    <cfRule type="expression" dxfId="995" priority="71">
      <formula>BP49="City Wall"</formula>
    </cfRule>
  </conditionalFormatting>
  <conditionalFormatting sqref="BG48">
    <cfRule type="expression" dxfId="994" priority="69">
      <formula>BG49="City Wall"</formula>
    </cfRule>
    <cfRule type="expression" dxfId="993" priority="70">
      <formula>BH48="City Wall"</formula>
    </cfRule>
  </conditionalFormatting>
  <conditionalFormatting sqref="BP48">
    <cfRule type="expression" dxfId="992" priority="67">
      <formula>BP49="City Wall"</formula>
    </cfRule>
    <cfRule type="expression" dxfId="991" priority="68">
      <formula>BH48="City Wall"</formula>
    </cfRule>
  </conditionalFormatting>
  <conditionalFormatting sqref="BP57">
    <cfRule type="expression" dxfId="990" priority="65">
      <formula>BH57="City Wall"</formula>
    </cfRule>
    <cfRule type="expression" dxfId="989" priority="66">
      <formula>BP49="City Wall"</formula>
    </cfRule>
  </conditionalFormatting>
  <conditionalFormatting sqref="BG57">
    <cfRule type="expression" dxfId="988" priority="63">
      <formula>BG49="City Wall"</formula>
    </cfRule>
    <cfRule type="expression" dxfId="987" priority="64">
      <formula>BH57="City Wall"</formula>
    </cfRule>
  </conditionalFormatting>
  <conditionalFormatting sqref="BG58:BP58">
    <cfRule type="expression" dxfId="986" priority="61">
      <formula>BG58="Land"</formula>
    </cfRule>
    <cfRule type="expression" dxfId="985" priority="62">
      <formula>BG58="Water"</formula>
    </cfRule>
  </conditionalFormatting>
  <conditionalFormatting sqref="BQ58">
    <cfRule type="expression" dxfId="984" priority="57" stopIfTrue="1">
      <formula>BQ48="Water"</formula>
    </cfRule>
    <cfRule type="expression" dxfId="983" priority="58" stopIfTrue="1">
      <formula>BG58="Water"</formula>
    </cfRule>
    <cfRule type="expression" dxfId="982" priority="59" stopIfTrue="1">
      <formula>BG58="Land"</formula>
    </cfRule>
    <cfRule type="expression" dxfId="981" priority="60" stopIfTrue="1">
      <formula>BQ48="Land"</formula>
    </cfRule>
  </conditionalFormatting>
  <conditionalFormatting sqref="BG47:BP47">
    <cfRule type="expression" dxfId="980" priority="55" stopIfTrue="1">
      <formula>BG47="Water"</formula>
    </cfRule>
    <cfRule type="expression" dxfId="979" priority="56" stopIfTrue="1">
      <formula>BG47="Land"</formula>
    </cfRule>
  </conditionalFormatting>
  <conditionalFormatting sqref="BF58">
    <cfRule type="expression" dxfId="978" priority="51" stopIfTrue="1">
      <formula>BF48="Water"</formula>
    </cfRule>
    <cfRule type="expression" dxfId="977" priority="52" stopIfTrue="1">
      <formula>BG58="Water"</formula>
    </cfRule>
    <cfRule type="expression" dxfId="976" priority="53" stopIfTrue="1">
      <formula>BG58="Land"</formula>
    </cfRule>
    <cfRule type="expression" dxfId="975" priority="54" stopIfTrue="1">
      <formula>BF48="Land"</formula>
    </cfRule>
  </conditionalFormatting>
  <conditionalFormatting sqref="BF48:BF57">
    <cfRule type="expression" dxfId="974" priority="49" stopIfTrue="1">
      <formula>BF48="Water"</formula>
    </cfRule>
    <cfRule type="expression" dxfId="973" priority="50" stopIfTrue="1">
      <formula>BF48="Land"</formula>
    </cfRule>
  </conditionalFormatting>
  <conditionalFormatting sqref="BQ48:BQ57">
    <cfRule type="expression" dxfId="972" priority="47" stopIfTrue="1">
      <formula>BQ48="Water"</formula>
    </cfRule>
    <cfRule type="expression" dxfId="971" priority="48" stopIfTrue="1">
      <formula>BQ48="Land"</formula>
    </cfRule>
  </conditionalFormatting>
  <conditionalFormatting sqref="BQ47">
    <cfRule type="expression" dxfId="970" priority="43" stopIfTrue="1">
      <formula>BQ48="Water"</formula>
    </cfRule>
    <cfRule type="expression" dxfId="969" priority="44" stopIfTrue="1">
      <formula>BG47="Water"</formula>
    </cfRule>
    <cfRule type="expression" dxfId="968" priority="45" stopIfTrue="1">
      <formula>BG47="Land"</formula>
    </cfRule>
    <cfRule type="expression" dxfId="967" priority="46" stopIfTrue="1">
      <formula>BQ48="Land"</formula>
    </cfRule>
  </conditionalFormatting>
  <conditionalFormatting sqref="BF47">
    <cfRule type="expression" dxfId="966" priority="39" stopIfTrue="1">
      <formula>BG47="Water"</formula>
    </cfRule>
    <cfRule type="expression" dxfId="965" priority="40" stopIfTrue="1">
      <formula>BF48="Water"</formula>
    </cfRule>
    <cfRule type="expression" dxfId="964" priority="41" stopIfTrue="1">
      <formula>BG47="Land"</formula>
    </cfRule>
    <cfRule type="expression" dxfId="963" priority="42" stopIfTrue="1">
      <formula>BF48="Land"</formula>
    </cfRule>
  </conditionalFormatting>
  <conditionalFormatting sqref="BH49:BO56">
    <cfRule type="expression" dxfId="962" priority="38">
      <formula>BH49&lt;&gt;""</formula>
    </cfRule>
  </conditionalFormatting>
  <conditionalFormatting sqref="BH61:BO61">
    <cfRule type="expression" dxfId="961" priority="37">
      <formula>BH61="City Wall"</formula>
    </cfRule>
  </conditionalFormatting>
  <conditionalFormatting sqref="BH70:BO70">
    <cfRule type="expression" dxfId="960" priority="36">
      <formula>BH70="City Wall"</formula>
    </cfRule>
  </conditionalFormatting>
  <conditionalFormatting sqref="BG62:BG69">
    <cfRule type="expression" dxfId="959" priority="35">
      <formula>BG62="City Wall"</formula>
    </cfRule>
  </conditionalFormatting>
  <conditionalFormatting sqref="BP62:BP69">
    <cfRule type="expression" dxfId="958" priority="34">
      <formula>BP62="City Wall"</formula>
    </cfRule>
  </conditionalFormatting>
  <conditionalFormatting sqref="BG61">
    <cfRule type="expression" dxfId="957" priority="32">
      <formula>BG62="City Wall"</formula>
    </cfRule>
    <cfRule type="expression" dxfId="956" priority="33">
      <formula>BH61="City Wall"</formula>
    </cfRule>
  </conditionalFormatting>
  <conditionalFormatting sqref="BP61">
    <cfRule type="expression" dxfId="955" priority="30">
      <formula>BP62="City Wall"</formula>
    </cfRule>
    <cfRule type="expression" dxfId="954" priority="31">
      <formula>BH61="City Wall"</formula>
    </cfRule>
  </conditionalFormatting>
  <conditionalFormatting sqref="BP70">
    <cfRule type="expression" dxfId="953" priority="28">
      <formula>BH70="City Wall"</formula>
    </cfRule>
    <cfRule type="expression" dxfId="952" priority="29">
      <formula>BP62="City Wall"</formula>
    </cfRule>
  </conditionalFormatting>
  <conditionalFormatting sqref="BG70">
    <cfRule type="expression" dxfId="951" priority="26">
      <formula>BG62="City Wall"</formula>
    </cfRule>
    <cfRule type="expression" dxfId="950" priority="27">
      <formula>BH70="City Wall"</formula>
    </cfRule>
  </conditionalFormatting>
  <conditionalFormatting sqref="BG71:BP71">
    <cfRule type="expression" dxfId="949" priority="24">
      <formula>BG71="Land"</formula>
    </cfRule>
    <cfRule type="expression" dxfId="948" priority="25">
      <formula>BG71="Water"</formula>
    </cfRule>
  </conditionalFormatting>
  <conditionalFormatting sqref="BQ71">
    <cfRule type="expression" dxfId="947" priority="20" stopIfTrue="1">
      <formula>BQ61="Water"</formula>
    </cfRule>
    <cfRule type="expression" dxfId="946" priority="21" stopIfTrue="1">
      <formula>BG71="Water"</formula>
    </cfRule>
    <cfRule type="expression" dxfId="945" priority="22" stopIfTrue="1">
      <formula>BG71="Land"</formula>
    </cfRule>
    <cfRule type="expression" dxfId="944" priority="23" stopIfTrue="1">
      <formula>BQ61="Land"</formula>
    </cfRule>
  </conditionalFormatting>
  <conditionalFormatting sqref="BG60:BP60">
    <cfRule type="expression" dxfId="943" priority="18" stopIfTrue="1">
      <formula>BG60="Water"</formula>
    </cfRule>
    <cfRule type="expression" dxfId="942" priority="19" stopIfTrue="1">
      <formula>BG60="Land"</formula>
    </cfRule>
  </conditionalFormatting>
  <conditionalFormatting sqref="BF71">
    <cfRule type="expression" dxfId="941" priority="14" stopIfTrue="1">
      <formula>BF61="Water"</formula>
    </cfRule>
    <cfRule type="expression" dxfId="940" priority="15" stopIfTrue="1">
      <formula>BG71="Water"</formula>
    </cfRule>
    <cfRule type="expression" dxfId="939" priority="16" stopIfTrue="1">
      <formula>BG71="Land"</formula>
    </cfRule>
    <cfRule type="expression" dxfId="938" priority="17" stopIfTrue="1">
      <formula>BF61="Land"</formula>
    </cfRule>
  </conditionalFormatting>
  <conditionalFormatting sqref="BF61:BF70">
    <cfRule type="expression" dxfId="937" priority="12" stopIfTrue="1">
      <formula>BF61="Water"</formula>
    </cfRule>
    <cfRule type="expression" dxfId="936" priority="13" stopIfTrue="1">
      <formula>BF61="Land"</formula>
    </cfRule>
  </conditionalFormatting>
  <conditionalFormatting sqref="BQ61:BQ70">
    <cfRule type="expression" dxfId="935" priority="10" stopIfTrue="1">
      <formula>BQ61="Water"</formula>
    </cfRule>
    <cfRule type="expression" dxfId="934" priority="11" stopIfTrue="1">
      <formula>BQ61="Land"</formula>
    </cfRule>
  </conditionalFormatting>
  <conditionalFormatting sqref="BQ60">
    <cfRule type="expression" dxfId="933" priority="6" stopIfTrue="1">
      <formula>BQ61="Water"</formula>
    </cfRule>
    <cfRule type="expression" dxfId="932" priority="7" stopIfTrue="1">
      <formula>BG60="Water"</formula>
    </cfRule>
    <cfRule type="expression" dxfId="931" priority="8" stopIfTrue="1">
      <formula>BG60="Land"</formula>
    </cfRule>
    <cfRule type="expression" dxfId="930" priority="9" stopIfTrue="1">
      <formula>BQ61="Land"</formula>
    </cfRule>
  </conditionalFormatting>
  <conditionalFormatting sqref="BF60">
    <cfRule type="expression" dxfId="929" priority="2" stopIfTrue="1">
      <formula>BG60="Water"</formula>
    </cfRule>
    <cfRule type="expression" dxfId="928" priority="3" stopIfTrue="1">
      <formula>BF61="Water"</formula>
    </cfRule>
    <cfRule type="expression" dxfId="927" priority="4" stopIfTrue="1">
      <formula>BG60="Land"</formula>
    </cfRule>
    <cfRule type="expression" dxfId="926" priority="5" stopIfTrue="1">
      <formula>BF61="Land"</formula>
    </cfRule>
  </conditionalFormatting>
  <conditionalFormatting sqref="BH62:BO69">
    <cfRule type="expression" dxfId="925" priority="1">
      <formula>BH62&lt;&gt;""</formula>
    </cfRule>
  </conditionalFormatting>
  <dataValidations count="3">
    <dataValidation type="list" allowBlank="1" showInputMessage="1" showErrorMessage="1" sqref="D10 AU49:AV50 AX49:AY50 AU52:AV53 AX52:AY53 BA49:BB50 BA52:BB53 AU55:AV56 AX55:AY56 BA55:BB56 AU36:AV37 AX36:AY37 AU39:AV40 AX39:AY40 BA36:BB37 BA39:BB40 AU42:AV43 AX42:AY43 BA42:BB43 AU23:AV24 AX23:AY24 AU26:AV27 AX26:AY27 BA23:BB24 BA26:BB27 AU29:AV30 AX29:AY30 BA29:BB30 AU10:AV11 AX10:AY11 AU13:AV14 AX13:AY14 BA10:BB11 BA13:BB14 AU16:AV17 AX16:AY17 BA16:BB17 AH49:AI50 AK49:AL50 AH52:AI53 AK52:AL53 AN49:AO50 AN52:AO53 AH55:AI56 AK55:AL56 AN55:AO56 U49:V50 X49:Y50 U52:V53 X52:Y53 AA49:AB50 AA52:AB53 U55:V56 X55:Y56 AA55:AB56 H49:I50 K49:L50 H52:I53 K52:L53 N49:O50 N52:O53 H55:I56 K55:L56 N55:O56 AH36:AI37 AK36:AL37 AH39:AI40 AK39:AL40 AN36:AO37 AN39:AO40 AH42:AI43 AK42:AL43 AN42:AO43 U36:V37 X36:Y37 U39:V40 X39:Y40 AA36:AB37 AA39:AB40 U42:V43 X42:Y43 AA42:AB43 H36:I37 K36:L37 H39:I40 K39:L40 N36:O37 N39:O40 H42:I43 K42:L43 N42:O43 AH23:AI24 AK23:AL24 AH26:AI27 AK26:AL27 AN23:AO24 AN26:AO27 AH29:AI30 AK29:AL30 AN29:AO30 U23:V24 X23:Y24 U26:V27 X26:Y27 AA23:AB24 AA26:AB27 U29:V30 X29:Y30 AA29:AB30 H23:I24 K23:L24 H26:I27 K26:L27 N23:O24 N26:O27 H29:I30 K29:L30 N29:O30 AH10:AI11 AK10:AL11 AH13:AI14 AK13:AL14 AN10:AO11 AN13:AO14 AH16:AI17 AK16:AL17 AN16:AO17 U10:V11 X10:Y11 U13:V14 X13:Y14 AA10:AB11 AA13:AB14 U16:V17 X16:Y17 AA16:AB17 H10:I11 K10:L11 H13:I14 K13:L14 N10:O11 N13:O14 H16:I17 K16:L17 N16:O17 AU62:AV63 AX62:AY63 AU65:AV66 AX65:AY66 BA62:BB63 BA65:BB66 AU68:AV69 AX68:AY69 BA68:BB69 AH62:AI63 AK62:AL63 AH65:AI66 AK65:AL66 AN62:AO63 AN65:AO66 AH68:AI69 AK68:AL69 AN68:AO69 U62:V63 X62:Y63 U65:V66 X65:Y66 AA62:AB63 AA65:AB66 U68:V69 X68:Y69 AA68:AB69 H62:I63 K62:L63 H65:I66 K65:L66 N62:O63 N65:O66 H68:I69 K68:L69 N68:O69 BH49:BI50 BK49:BL50 BH52:BI53 BK52:BL53 BN49:BO50 BN52:BO53 BH55:BI56 BK55:BL56 BN55:BO56 BH36:BI37 BK36:BL37 BH39:BI40 BK39:BL40 BN36:BO37 BN39:BO40 BH42:BI43 BK42:BL43 BN42:BO43 BH23:BI24 BK23:BL24 BH26:BI27 BK26:BL27 BN23:BO24 BN26:BO27 BH29:BI30 BK29:BL30 BN29:BO30 BH10:BI11 BK10:BL11 BH13:BI14 BK13:BL14 BN10:BO11 BN13:BO14 BH16:BI17 BK16:BL17 BN16:BO17 BH62:BI63 BK62:BL63 BH65:BI66 BK65:BL66 BN62:BO63 BN65:BO66 BH68:BI69 BK68:BL69 BN68:BO69">
      <formula1>$A$9:$A$65</formula1>
    </dataValidation>
    <dataValidation type="list" allowBlank="1" showInputMessage="1" showErrorMessage="1" sqref="H9:O9 BC49:BC56 AT49:AT56 AU57:BB57 AU48:BB48 BC36:BC43 AT36:AT43 AU44:BB44 AU35:BB35 BC23:BC30 AT23:AT30 AU31:BB31 AU22:BB22 BC10:BC17 AT10:AT17 AU18:BB18 AU9:BB9 AP49:AP56 AG49:AG56 AH57:AO57 AH48:AO48 AC49:AC56 T49:T56 U57:AB57 U48:AB48 P49:P56 G49:G56 H57:O57 H48:O48 AP36:AP43 AG36:AG43 AH44:AO44 AH35:AO35 AC36:AC43 T36:T43 U44:AB44 U35:AB35 P36:P43 G36:G43 H44:O44 H35:O35 AP23:AP30 AG23:AG30 AH31:AO31 AH22:AO22 AC23:AC30 T23:T30 U31:AB31 U22:AB22 P23:P30 G23:G30 H31:O31 H22:O22 AP10:AP17 AG10:AG17 AH18:AO18 AH9:AO9 AC10:AC17 T10:T17 U18:AB18 U9:AB9 P10:P17 G10:G17 H18:O18 BC62:BC69 AT62:AT69 AU70:BB70 AU61:BB61 AP62:AP69 AG62:AG69 AH70:AO70 AH61:AO61 AC62:AC69 T62:T69 U70:AB70 U61:AB61 P62:P69 G62:G69 H70:O70 H61:O61 BP49:BP56 BG49:BG56 BH57:BO57 BH48:BO48 BP36:BP43 BG36:BG43 BH44:BO44 BH35:BO35 BP23:BP30 BG23:BG30 BH31:BO31 BH22:BO22 BP10:BP17 BG10:BG17 BH18:BO18 BH9:BO9 BP62:BP69 BG62:BG69 BH70:BO70 BH61:BO61">
      <formula1>$B$9:$B$10</formula1>
    </dataValidation>
    <dataValidation type="list" allowBlank="1" showInputMessage="1" showErrorMessage="1" sqref="G19:P19 AT47:BC47 BD48:BD57 AS48:AS57 AT58:BC58 AT34:BC34 BD35:BD44 AS35:AS44 AT45:BC45 AT21:BC21 BD22:BD31 AS22:AS31 AT32:BC32 AT8:BC8 BD9:BD18 AS9:AS18 AT19:BC19 AG47:AP47 AQ48:AQ57 AF48:AF57 AG58:AP58 T47:AC47 AD48:AD57 S48:S57 T58:AC58 G47:P47 Q48:Q57 F48:F57 G58:P58 AG34:AP34 AQ35:AQ44 AF35:AF44 AG45:AP45 T34:AC34 AD35:AD44 S35:S44 T45:AC45 G34:P34 Q35:Q44 F35:F44 G45:P45 AG21:AP21 AQ22:AQ31 AF22:AF31 AG32:AP32 T21:AC21 AD22:AD31 S22:S31 T32:AC32 G21:P21 Q22:Q31 F22:F31 G32:P32 AG8:AP8 AQ9:AQ18 AF9:AF18 AG19:AP19 T8:AC8 AD9:AD18 S9:S18 T19:AC19 G8:P8 Q9:Q18 F9:F18 AT60:BC60 BD61:BD70 AS61:AS70 AT71:BC71 AG60:AP60 AQ61:AQ70 AF61:AF70 AG71:AP71 T60:AC60 AD61:AD70 S61:S70 T71:AC71 G60:P60 Q61:Q70 F61:F70 G71:P71 BG47:BP47 BQ48:BQ57 BF48:BF57 BG58:BP58 BG34:BP34 BQ35:BQ44 BF35:BF44 BG45:BP45 BG21:BP21 BQ22:BQ31 BF22:BF31 BG32:BP32 BG8:BP8 BQ9:BQ18 BF9:BF18 BG19:BP19 BG60:BP60 BQ61:BQ70 BF61:BF70 BG71:BP71">
      <formula1>$C$9:$C$10</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horizontalDpi="4294967294" verticalDpi="0" r:id="rId1"/>
  <headerFooter>
    <oddHeade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351"/>
  <sheetViews>
    <sheetView showZeros="0" zoomScaleNormal="100" workbookViewId="0">
      <selection activeCell="B2" sqref="B2"/>
    </sheetView>
  </sheetViews>
  <sheetFormatPr defaultRowHeight="15" x14ac:dyDescent="0.25"/>
  <cols>
    <col min="1" max="1" width="0.85546875" customWidth="1"/>
    <col min="2" max="2" width="18.7109375" customWidth="1"/>
    <col min="3" max="3" width="0.85546875" style="11" customWidth="1"/>
    <col min="5" max="5" width="0.85546875" style="5" customWidth="1"/>
    <col min="6" max="6" width="18.7109375" customWidth="1"/>
    <col min="7" max="7" width="0.85546875" style="11" customWidth="1"/>
    <col min="9" max="9" width="0.85546875" style="5" customWidth="1"/>
    <col min="10" max="10" width="0.85546875" customWidth="1"/>
    <col min="11" max="11" width="18.7109375" customWidth="1"/>
    <col min="12" max="12" width="0.85546875" style="11" customWidth="1"/>
    <col min="14" max="14" width="0.85546875" style="5" customWidth="1"/>
    <col min="15" max="15" width="18.7109375" customWidth="1"/>
    <col min="16" max="16" width="0.85546875" style="11" customWidth="1"/>
    <col min="18" max="18" width="0.85546875" style="5" customWidth="1"/>
  </cols>
  <sheetData>
    <row r="1" spans="1:18" ht="5.0999999999999996" customHeight="1" thickBot="1" x14ac:dyDescent="0.3">
      <c r="A1" s="12"/>
      <c r="B1" s="14"/>
      <c r="C1" s="13"/>
      <c r="D1" s="14"/>
      <c r="E1" s="14"/>
      <c r="F1" s="14"/>
      <c r="G1" s="13"/>
      <c r="H1" s="14"/>
      <c r="I1" s="15"/>
      <c r="J1" s="12"/>
      <c r="K1" s="14"/>
      <c r="L1" s="13"/>
      <c r="M1" s="14"/>
      <c r="N1" s="14"/>
      <c r="O1" s="14"/>
      <c r="P1" s="13"/>
      <c r="Q1" s="14"/>
      <c r="R1" s="15"/>
    </row>
    <row r="2" spans="1:18" ht="15.75" thickBot="1" x14ac:dyDescent="0.3">
      <c r="A2" s="19"/>
      <c r="B2" s="69" t="s">
        <v>83</v>
      </c>
      <c r="C2" s="61"/>
      <c r="D2" s="411" t="str">
        <f>IF('City 1'!$D$2&lt;&gt;0,'City 1'!$D$2," ")</f>
        <v>Grenhelm City</v>
      </c>
      <c r="E2" s="412"/>
      <c r="F2" s="412"/>
      <c r="G2" s="412"/>
      <c r="H2" s="413"/>
      <c r="I2" s="18"/>
      <c r="J2" s="19"/>
      <c r="K2" s="69" t="s">
        <v>83</v>
      </c>
      <c r="L2" s="61"/>
      <c r="M2" s="411" t="str">
        <f>IF('City 2'!$D$2&lt;&gt;0,'City 2'!$D$2," ")</f>
        <v xml:space="preserve"> </v>
      </c>
      <c r="N2" s="412"/>
      <c r="O2" s="412"/>
      <c r="P2" s="412"/>
      <c r="Q2" s="413"/>
      <c r="R2" s="18"/>
    </row>
    <row r="3" spans="1:18" s="1" customFormat="1" ht="3" customHeight="1" thickBot="1" x14ac:dyDescent="0.3">
      <c r="A3" s="33"/>
      <c r="B3" s="61"/>
      <c r="C3" s="61"/>
      <c r="D3" s="45"/>
      <c r="E3" s="11"/>
      <c r="F3" s="61"/>
      <c r="G3" s="61"/>
      <c r="H3" s="11"/>
      <c r="I3" s="22"/>
      <c r="J3" s="33"/>
      <c r="K3" s="61"/>
      <c r="L3" s="61"/>
      <c r="M3" s="45"/>
      <c r="N3" s="11"/>
      <c r="O3" s="61"/>
      <c r="P3" s="61"/>
      <c r="Q3" s="11"/>
      <c r="R3" s="22"/>
    </row>
    <row r="4" spans="1:18" ht="15.75" thickBot="1" x14ac:dyDescent="0.3">
      <c r="A4" s="19"/>
      <c r="B4" s="70" t="s">
        <v>49</v>
      </c>
      <c r="C4" s="62"/>
      <c r="D4" s="46">
        <f>IF('City 1'!$D$4&lt;&gt;0,'City 1'!$D$4," ")</f>
        <v>7</v>
      </c>
      <c r="E4" s="47"/>
      <c r="F4" s="70" t="s">
        <v>43</v>
      </c>
      <c r="G4" s="62"/>
      <c r="H4" s="46">
        <f>IF('City 1'!$T$6&lt;&gt;0,'City 1'!$T$6," ")</f>
        <v>3500</v>
      </c>
      <c r="I4" s="18"/>
      <c r="J4" s="19"/>
      <c r="K4" s="92" t="s">
        <v>49</v>
      </c>
      <c r="L4" s="62"/>
      <c r="M4" s="46" t="str">
        <f>IF('City 2'!$D$4&lt;&gt;0,'City 2'!$D$4," ")</f>
        <v xml:space="preserve"> </v>
      </c>
      <c r="N4" s="81"/>
      <c r="O4" s="92" t="s">
        <v>43</v>
      </c>
      <c r="P4" s="62"/>
      <c r="Q4" s="46" t="str">
        <f>IF('City 2'!$T$6&lt;&gt;0,'City 2'!$T$6," ")</f>
        <v xml:space="preserve"> </v>
      </c>
      <c r="R4" s="18"/>
    </row>
    <row r="5" spans="1:18" s="1" customFormat="1" ht="3" customHeight="1" thickBot="1" x14ac:dyDescent="0.3">
      <c r="A5" s="33"/>
      <c r="B5" s="61"/>
      <c r="C5" s="61"/>
      <c r="D5" s="21"/>
      <c r="E5" s="21"/>
      <c r="F5" s="11"/>
      <c r="G5" s="11"/>
      <c r="H5" s="11"/>
      <c r="I5" s="22"/>
      <c r="J5" s="33"/>
      <c r="K5" s="61"/>
      <c r="L5" s="61"/>
      <c r="M5" s="21"/>
      <c r="N5" s="21"/>
      <c r="O5" s="11"/>
      <c r="P5" s="11"/>
      <c r="Q5" s="11"/>
      <c r="R5" s="22"/>
    </row>
    <row r="6" spans="1:18" ht="15.75" thickBot="1" x14ac:dyDescent="0.3">
      <c r="A6" s="19"/>
      <c r="B6" s="70" t="s">
        <v>50</v>
      </c>
      <c r="C6" s="62"/>
      <c r="D6" s="46">
        <f>IF('City 1'!$D$6&lt;&gt;0,'City 1'!$D$6," ")</f>
        <v>4</v>
      </c>
      <c r="E6" s="47"/>
      <c r="F6" s="70" t="s">
        <v>95</v>
      </c>
      <c r="G6" s="62"/>
      <c r="H6" s="46">
        <f>IF('City 1'!$AJ$4&lt;&gt;0,'City 1'!$AJ$4,0)</f>
        <v>8</v>
      </c>
      <c r="I6" s="18"/>
      <c r="J6" s="19"/>
      <c r="K6" s="92" t="s">
        <v>50</v>
      </c>
      <c r="L6" s="62"/>
      <c r="M6" s="46" t="str">
        <f>IF('City 2'!$D$6&lt;&gt;0,'City 2'!$D$6," ")</f>
        <v xml:space="preserve"> </v>
      </c>
      <c r="N6" s="81"/>
      <c r="O6" s="92" t="s">
        <v>95</v>
      </c>
      <c r="P6" s="62"/>
      <c r="Q6" s="46">
        <f>IF('City 2'!$AJ$4&lt;&gt;0,'City 2'!$AJ$4,0)</f>
        <v>0</v>
      </c>
      <c r="R6" s="18"/>
    </row>
    <row r="7" spans="1:18" s="1" customFormat="1" ht="3" customHeight="1" thickBot="1" x14ac:dyDescent="0.3">
      <c r="A7" s="33"/>
      <c r="B7" s="61"/>
      <c r="C7" s="61"/>
      <c r="D7" s="21"/>
      <c r="E7" s="21"/>
      <c r="F7" s="11"/>
      <c r="G7" s="11"/>
      <c r="H7" s="11"/>
      <c r="I7" s="22"/>
      <c r="J7" s="33"/>
      <c r="K7" s="61"/>
      <c r="L7" s="61"/>
      <c r="M7" s="21"/>
      <c r="N7" s="21"/>
      <c r="O7" s="11"/>
      <c r="P7" s="11"/>
      <c r="Q7" s="11"/>
      <c r="R7" s="22"/>
    </row>
    <row r="8" spans="1:18" ht="15.75" thickBot="1" x14ac:dyDescent="0.3">
      <c r="A8" s="19"/>
      <c r="B8" s="70" t="s">
        <v>51</v>
      </c>
      <c r="C8" s="62"/>
      <c r="D8" s="46">
        <f>IF('City 1'!$T$4&lt;&gt;0,'City 1'!$T$4," ")</f>
        <v>5</v>
      </c>
      <c r="E8" s="47"/>
      <c r="F8" s="359" t="s">
        <v>148</v>
      </c>
      <c r="G8" s="417"/>
      <c r="H8" s="417"/>
      <c r="I8" s="18"/>
      <c r="J8" s="19"/>
      <c r="K8" s="92" t="s">
        <v>51</v>
      </c>
      <c r="L8" s="62"/>
      <c r="M8" s="46" t="str">
        <f>IF('City 2'!$T$4&lt;&gt;0,'City 2'!$T$4," ")</f>
        <v xml:space="preserve"> </v>
      </c>
      <c r="N8" s="81"/>
      <c r="O8" s="359" t="s">
        <v>148</v>
      </c>
      <c r="P8" s="417"/>
      <c r="Q8" s="417"/>
      <c r="R8" s="18"/>
    </row>
    <row r="9" spans="1:18" s="1" customFormat="1" ht="3" customHeight="1" thickBot="1" x14ac:dyDescent="0.3">
      <c r="A9" s="33"/>
      <c r="B9" s="62"/>
      <c r="C9" s="62"/>
      <c r="D9" s="21"/>
      <c r="E9" s="21"/>
      <c r="F9" s="5"/>
      <c r="G9" s="11"/>
      <c r="H9" s="5"/>
      <c r="I9" s="22"/>
      <c r="J9" s="33"/>
      <c r="K9" s="62"/>
      <c r="L9" s="62"/>
      <c r="M9" s="21"/>
      <c r="N9" s="21"/>
      <c r="O9" s="5"/>
      <c r="P9" s="11"/>
      <c r="Q9" s="5"/>
      <c r="R9" s="22"/>
    </row>
    <row r="10" spans="1:18" x14ac:dyDescent="0.25">
      <c r="A10" s="19"/>
      <c r="B10" s="359" t="s">
        <v>149</v>
      </c>
      <c r="C10" s="417"/>
      <c r="D10" s="417"/>
      <c r="E10" s="47"/>
      <c r="F10" s="427" t="str">
        <f>IF('City 1'!$D$26&gt;0, 'City 1'!$B$26, (IF('City 1'!$D$36&gt;0, 'City 1'!$B$36, (IF('City 1'!$D$16&gt;0, 'City 1'!$B$36, (IF('City 1'!$AJ$34&gt;0, 'City 1'!$AF$34," ")))))))</f>
        <v>Castle</v>
      </c>
      <c r="G10" s="428"/>
      <c r="H10" s="429"/>
      <c r="I10" s="18"/>
      <c r="J10" s="19"/>
      <c r="K10" s="359" t="s">
        <v>149</v>
      </c>
      <c r="L10" s="417"/>
      <c r="M10" s="417"/>
      <c r="N10" s="81"/>
      <c r="O10" s="427" t="str">
        <f>IF('City 2'!$D$26&gt;0, 'City 2'!$B$26, (IF('City 2'!$D$36&gt;0, 'City 2'!$B$36, (IF('City 2'!$D$16&gt;0, 'City 2'!$B$36, (IF('City 2'!$AJ$34&gt;0, 'City 2'!$AF$34," ")))))))</f>
        <v xml:space="preserve"> </v>
      </c>
      <c r="P10" s="428"/>
      <c r="Q10" s="429"/>
      <c r="R10" s="18"/>
    </row>
    <row r="11" spans="1:18" s="1" customFormat="1" ht="3" customHeight="1" thickBot="1" x14ac:dyDescent="0.3">
      <c r="A11" s="33"/>
      <c r="B11" s="5"/>
      <c r="C11" s="11"/>
      <c r="D11" s="5"/>
      <c r="E11" s="21"/>
      <c r="F11" s="409"/>
      <c r="G11" s="405"/>
      <c r="H11" s="410"/>
      <c r="I11" s="22"/>
      <c r="J11" s="33"/>
      <c r="K11" s="5"/>
      <c r="L11" s="11"/>
      <c r="M11" s="5"/>
      <c r="N11" s="21"/>
      <c r="O11" s="409"/>
      <c r="P11" s="405"/>
      <c r="Q11" s="410"/>
      <c r="R11" s="22"/>
    </row>
    <row r="12" spans="1:18" ht="15.75" thickBot="1" x14ac:dyDescent="0.3">
      <c r="A12" s="19"/>
      <c r="B12" s="70" t="s">
        <v>96</v>
      </c>
      <c r="C12" s="62"/>
      <c r="D12" s="46">
        <f>IF('City 1'!$AJ$2&lt;&gt;0,'City 1'!$AJ$2," ")</f>
        <v>2700</v>
      </c>
      <c r="E12" s="47"/>
      <c r="F12" s="409" t="str">
        <f>(IF('City 1'!$D$28&gt;0, 'City 1'!$B$28, (IF('City 1'!$AJ$24&gt;0, 'City 1'!$AF$24, (IF('City 1'!$AJ$14&gt;0, 'City 1'!$AF$14," "))))))</f>
        <v xml:space="preserve"> </v>
      </c>
      <c r="G12" s="405"/>
      <c r="H12" s="410"/>
      <c r="I12" s="18"/>
      <c r="J12" s="19"/>
      <c r="K12" s="92" t="s">
        <v>96</v>
      </c>
      <c r="L12" s="62"/>
      <c r="M12" s="46" t="str">
        <f>IF('City 2'!$AJ$2&lt;&gt;0,'City 2'!$AJ$2," ")</f>
        <v xml:space="preserve"> </v>
      </c>
      <c r="N12" s="81"/>
      <c r="O12" s="409" t="str">
        <f>(IF('City 2'!$D$28&gt;0, 'City 2'!$B$28, (IF('City 2'!$AJ$24&gt;0, 'City 2'!$AF$24, (IF('City 2'!$AJ$14&gt;0, 'City 2'!$AF$14," "))))))</f>
        <v xml:space="preserve"> </v>
      </c>
      <c r="P12" s="405"/>
      <c r="Q12" s="410"/>
      <c r="R12" s="18"/>
    </row>
    <row r="13" spans="1:18" s="1" customFormat="1" ht="3" customHeight="1" thickBot="1" x14ac:dyDescent="0.3">
      <c r="A13" s="33"/>
      <c r="B13" s="5"/>
      <c r="C13" s="11"/>
      <c r="D13" s="5"/>
      <c r="E13" s="45"/>
      <c r="F13" s="409"/>
      <c r="G13" s="405"/>
      <c r="H13" s="410"/>
      <c r="I13" s="22"/>
      <c r="J13" s="33"/>
      <c r="K13" s="5"/>
      <c r="L13" s="11"/>
      <c r="M13" s="5"/>
      <c r="N13" s="45"/>
      <c r="O13" s="409"/>
      <c r="P13" s="405"/>
      <c r="Q13" s="410"/>
      <c r="R13" s="22"/>
    </row>
    <row r="14" spans="1:18" ht="15.75" thickBot="1" x14ac:dyDescent="0.3">
      <c r="A14" s="19"/>
      <c r="B14" s="70" t="s">
        <v>97</v>
      </c>
      <c r="D14" s="46">
        <f>IF('City 1'!$D$52&lt;&gt;0,'City 1'!$D$52," ")</f>
        <v>3</v>
      </c>
      <c r="F14" s="409" t="str">
        <f>(IF('City 1'!$D$14&gt;0, 'City 1'!$B$14, (IF('City 1'!$AJ$28&gt;0, 'City 1'!$AF$28, (IF('City 1'!$AJ$22&gt;0, 'City 1'!$AF$22, (IF('City 1'!$T$18&gt;0, 'City 1'!$P$18, (IF('City 1'!$D$22&gt;0, 'City 1'!$B$22, (IF('City 1'!$T$38&gt;0, 'City 1'!$P$38," "))))))))))))</f>
        <v>Tavern</v>
      </c>
      <c r="G14" s="405"/>
      <c r="H14" s="410"/>
      <c r="I14" s="18"/>
      <c r="J14" s="19"/>
      <c r="K14" s="92" t="s">
        <v>97</v>
      </c>
      <c r="M14" s="46" t="str">
        <f>IF('City 2'!$D$42&lt;&gt;0,'City 2'!$D$42," ")</f>
        <v xml:space="preserve"> </v>
      </c>
      <c r="O14" s="409" t="str">
        <f>(IF('City 2'!$D$14&gt;0, 'City 2'!$B$14, (IF('City 2'!$AJ$28&gt;0, 'City 2'!$AF$28, (IF('City 2'!$AJ$22&gt;0, 'City 2'!$AF$22, (IF('City 2'!$T$18&gt;0, 'City 2'!$P$18, (IF('City 2'!$D$22&gt;0, 'City 2'!$B$22, (IF('City 2'!$T$38&gt;0, 'City 2'!$P$38," "))))))))))))</f>
        <v xml:space="preserve"> </v>
      </c>
      <c r="P14" s="405"/>
      <c r="Q14" s="410"/>
      <c r="R14" s="18"/>
    </row>
    <row r="15" spans="1:18" ht="3" customHeight="1" thickBot="1" x14ac:dyDescent="0.3">
      <c r="A15" s="19"/>
      <c r="B15" s="5"/>
      <c r="D15" s="5"/>
      <c r="F15" s="409"/>
      <c r="G15" s="405"/>
      <c r="H15" s="410"/>
      <c r="I15" s="18"/>
      <c r="J15" s="19"/>
      <c r="K15" s="5"/>
      <c r="M15" s="5"/>
      <c r="O15" s="409"/>
      <c r="P15" s="405"/>
      <c r="Q15" s="410"/>
      <c r="R15" s="18"/>
    </row>
    <row r="16" spans="1:18" ht="15.75" thickBot="1" x14ac:dyDescent="0.3">
      <c r="A16" s="19"/>
      <c r="B16" s="70" t="s">
        <v>152</v>
      </c>
      <c r="D16" s="46" t="str">
        <f>IF('City 1'!$T$52&lt;&gt;0,'City 1'!$T$52," ")</f>
        <v xml:space="preserve"> </v>
      </c>
      <c r="F16" s="409" t="str">
        <f>(IF('City 1'!$AJ$36&gt;0,'City 1'!$AF$36,(IF('City 1'!$T$26&gt;0,'City 1'!$P$26,(IF('City 1'!$T$30&gt;0,'City 1'!$P$30,(IF('City 1'!$D$18&gt;0,'City 1'!$B$18,(IF('City 1'!$T$24&gt;0,'City 1'!$P$24,(IF('City 1'!$AJ$12&gt;0,'City 1'!$AF$12," "))))))))))))</f>
        <v>Luxury Store</v>
      </c>
      <c r="G16" s="405"/>
      <c r="H16" s="410"/>
      <c r="I16" s="18"/>
      <c r="J16" s="19"/>
      <c r="K16" s="92" t="s">
        <v>152</v>
      </c>
      <c r="M16" s="46" t="str">
        <f>IF('City 2'!$T$42&lt;&gt;0,'City 2'!$T$42," ")</f>
        <v xml:space="preserve"> </v>
      </c>
      <c r="O16" s="409" t="str">
        <f>(IF('City 2'!$AJ$36&gt;0,'City 2'!$AF$36,(IF('City 2'!$T$26&gt;0,'City 2'!$P$26,(IF('City 2'!$T$30&gt;0,'City 2'!$P$30,(IF('City 2'!$D$18&gt;0,'City 2'!$B$18,(IF('City 2'!$T$24&gt;0,'City 2'!$P$24,(IF('City 2'!$AJ$12&gt;0,'City 2'!$AF$12," "))))))))))))</f>
        <v xml:space="preserve"> </v>
      </c>
      <c r="P16" s="405"/>
      <c r="Q16" s="410"/>
      <c r="R16" s="18"/>
    </row>
    <row r="17" spans="1:18" ht="3" customHeight="1" thickBot="1" x14ac:dyDescent="0.3">
      <c r="A17" s="19"/>
      <c r="B17" s="5"/>
      <c r="D17" s="5"/>
      <c r="F17" s="409"/>
      <c r="G17" s="405"/>
      <c r="H17" s="410"/>
      <c r="I17" s="18"/>
      <c r="J17" s="19"/>
      <c r="K17" s="5"/>
      <c r="M17" s="5"/>
      <c r="O17" s="409"/>
      <c r="P17" s="405"/>
      <c r="Q17" s="410"/>
      <c r="R17" s="18"/>
    </row>
    <row r="18" spans="1:18" ht="15.75" thickBot="1" x14ac:dyDescent="0.3">
      <c r="A18" s="19"/>
      <c r="B18" s="70" t="s">
        <v>98</v>
      </c>
      <c r="D18" s="46" t="str">
        <f>IF('City 1'!$AJ$52&lt;&gt;0,'City 1'!$AJ$52," ")</f>
        <v xml:space="preserve"> </v>
      </c>
      <c r="F18" s="414" t="str">
        <f>(IF('City 1'!$T$12&gt;0,'City 1'!$P$12,(IF('City 1'!$D$20&gt;0,'City 1'!$B$34,(IF('City 1'!$AJ$32&gt;0,'City 1'!$AF$32,(IF('City 1'!$AJ$18&gt;0,'City 1'!$AF$18,(IF('City 1'!$T$14&gt;0,'City 1'!$P$14,(IF('City 1'!$T$32&gt;0,'City 1'!$P$32,(IF('City 1'!$AJ$16&gt;0,'City 1'!$AF$16,(IF('City 1'!$D$20&gt;0,'City 1'!$B$20," "))))))))))))))))</f>
        <v xml:space="preserve"> </v>
      </c>
      <c r="G18" s="415"/>
      <c r="H18" s="416"/>
      <c r="I18" s="18"/>
      <c r="J18" s="19"/>
      <c r="K18" s="92" t="s">
        <v>98</v>
      </c>
      <c r="M18" s="46" t="str">
        <f>IF('City 2'!$AJ$42&lt;&gt;0,'City 2'!$AJ$42," ")</f>
        <v xml:space="preserve"> </v>
      </c>
      <c r="O18" s="414" t="str">
        <f>(IF('City 2'!$T$12&gt;0,'City 2'!$P$12,(IF('City 2'!$D$20&gt;0,'City 2'!$B$34,(IF('City 2'!$AJ$32&gt;0,'City 2'!$AF$32,(IF('City 2'!$AJ$18&gt;0,'City 2'!$AF$18,(IF('City 2'!$T$14&gt;0,'City 2'!$P$14,(IF('City 2'!$T$32&gt;0,'City 2'!$P$32,(IF('City 2'!$AJ$16&gt;0,'City 2'!$AF$16,(IF('City 2'!$D$20&gt;0,'City 2'!$B$20," "))))))))))))))))</f>
        <v xml:space="preserve"> </v>
      </c>
      <c r="P18" s="415"/>
      <c r="Q18" s="416"/>
      <c r="R18" s="18"/>
    </row>
    <row r="19" spans="1:18" ht="3" customHeight="1" x14ac:dyDescent="0.25">
      <c r="A19" s="19"/>
      <c r="B19" s="5"/>
      <c r="D19" s="5"/>
      <c r="F19" s="5"/>
      <c r="H19" s="5"/>
      <c r="I19" s="18"/>
      <c r="J19" s="19"/>
      <c r="K19" s="5"/>
      <c r="M19" s="5"/>
      <c r="O19" s="5"/>
      <c r="Q19" s="5"/>
      <c r="R19" s="18"/>
    </row>
    <row r="20" spans="1:18" x14ac:dyDescent="0.25">
      <c r="A20" s="19"/>
      <c r="B20" s="359" t="s">
        <v>104</v>
      </c>
      <c r="C20" s="417"/>
      <c r="D20" s="417"/>
      <c r="E20" s="405"/>
      <c r="F20" s="405"/>
      <c r="G20" s="405"/>
      <c r="H20" s="405"/>
      <c r="I20" s="18"/>
      <c r="J20" s="19"/>
      <c r="K20" s="359" t="s">
        <v>104</v>
      </c>
      <c r="L20" s="417"/>
      <c r="M20" s="417"/>
      <c r="N20" s="405"/>
      <c r="O20" s="405"/>
      <c r="P20" s="405"/>
      <c r="Q20" s="405"/>
      <c r="R20" s="18"/>
    </row>
    <row r="21" spans="1:18" ht="3" customHeight="1" thickBot="1" x14ac:dyDescent="0.3">
      <c r="A21" s="19"/>
      <c r="B21" s="5"/>
      <c r="D21" s="5"/>
      <c r="F21" s="5"/>
      <c r="H21" s="5"/>
      <c r="I21" s="18"/>
      <c r="J21" s="19"/>
      <c r="K21" s="5"/>
      <c r="M21" s="5"/>
      <c r="O21" s="5"/>
      <c r="Q21" s="5"/>
      <c r="R21" s="18"/>
    </row>
    <row r="22" spans="1:18" x14ac:dyDescent="0.25">
      <c r="A22" s="19"/>
      <c r="B22" s="418" t="str">
        <f>IF('City 1'!$B$68&lt;&gt;0,'City 1'!$B$68," ")</f>
        <v xml:space="preserve"> </v>
      </c>
      <c r="C22" s="419"/>
      <c r="D22" s="419"/>
      <c r="E22" s="419"/>
      <c r="F22" s="419"/>
      <c r="G22" s="419"/>
      <c r="H22" s="420"/>
      <c r="I22" s="18"/>
      <c r="J22" s="19"/>
      <c r="K22" s="418" t="str">
        <f>IF('City 2'!$B$58&lt;&gt;0,'City 2'!$B$58," ")</f>
        <v xml:space="preserve"> </v>
      </c>
      <c r="L22" s="419"/>
      <c r="M22" s="419"/>
      <c r="N22" s="419"/>
      <c r="O22" s="419"/>
      <c r="P22" s="419"/>
      <c r="Q22" s="420"/>
      <c r="R22" s="18"/>
    </row>
    <row r="23" spans="1:18" ht="3" customHeight="1" x14ac:dyDescent="0.25">
      <c r="A23" s="19"/>
      <c r="B23" s="421"/>
      <c r="C23" s="422"/>
      <c r="D23" s="422"/>
      <c r="E23" s="422"/>
      <c r="F23" s="422"/>
      <c r="G23" s="422"/>
      <c r="H23" s="423"/>
      <c r="I23" s="18"/>
      <c r="J23" s="19"/>
      <c r="K23" s="421"/>
      <c r="L23" s="422"/>
      <c r="M23" s="422"/>
      <c r="N23" s="422"/>
      <c r="O23" s="422"/>
      <c r="P23" s="422"/>
      <c r="Q23" s="423"/>
      <c r="R23" s="18"/>
    </row>
    <row r="24" spans="1:18" x14ac:dyDescent="0.25">
      <c r="A24" s="19"/>
      <c r="B24" s="421"/>
      <c r="C24" s="422"/>
      <c r="D24" s="422"/>
      <c r="E24" s="422"/>
      <c r="F24" s="422"/>
      <c r="G24" s="422"/>
      <c r="H24" s="423"/>
      <c r="I24" s="18"/>
      <c r="J24" s="19"/>
      <c r="K24" s="421"/>
      <c r="L24" s="422"/>
      <c r="M24" s="422"/>
      <c r="N24" s="422"/>
      <c r="O24" s="422"/>
      <c r="P24" s="422"/>
      <c r="Q24" s="423"/>
      <c r="R24" s="18"/>
    </row>
    <row r="25" spans="1:18" x14ac:dyDescent="0.25">
      <c r="A25" s="19"/>
      <c r="B25" s="421"/>
      <c r="C25" s="422"/>
      <c r="D25" s="422"/>
      <c r="E25" s="422"/>
      <c r="F25" s="422"/>
      <c r="G25" s="422"/>
      <c r="H25" s="423"/>
      <c r="I25" s="18"/>
      <c r="J25" s="19"/>
      <c r="K25" s="421"/>
      <c r="L25" s="422"/>
      <c r="M25" s="422"/>
      <c r="N25" s="422"/>
      <c r="O25" s="422"/>
      <c r="P25" s="422"/>
      <c r="Q25" s="423"/>
      <c r="R25" s="18"/>
    </row>
    <row r="26" spans="1:18" ht="15.75" thickBot="1" x14ac:dyDescent="0.3">
      <c r="A26" s="19"/>
      <c r="B26" s="424"/>
      <c r="C26" s="425"/>
      <c r="D26" s="425"/>
      <c r="E26" s="425"/>
      <c r="F26" s="425"/>
      <c r="G26" s="425"/>
      <c r="H26" s="426"/>
      <c r="I26" s="18"/>
      <c r="J26" s="19"/>
      <c r="K26" s="424"/>
      <c r="L26" s="425"/>
      <c r="M26" s="425"/>
      <c r="N26" s="425"/>
      <c r="O26" s="425"/>
      <c r="P26" s="425"/>
      <c r="Q26" s="426"/>
      <c r="R26" s="18"/>
    </row>
    <row r="27" spans="1:18" ht="5.0999999999999996" customHeight="1" thickBot="1" x14ac:dyDescent="0.3">
      <c r="A27" s="34"/>
      <c r="B27" s="4"/>
      <c r="C27" s="28"/>
      <c r="D27" s="4"/>
      <c r="E27" s="4"/>
      <c r="F27" s="4"/>
      <c r="G27" s="28"/>
      <c r="H27" s="4"/>
      <c r="I27" s="29"/>
      <c r="J27" s="34"/>
      <c r="K27" s="4"/>
      <c r="L27" s="28"/>
      <c r="M27" s="4"/>
      <c r="N27" s="4"/>
      <c r="O27" s="4"/>
      <c r="P27" s="28"/>
      <c r="Q27" s="4"/>
      <c r="R27" s="29"/>
    </row>
    <row r="28" spans="1:18" ht="5.0999999999999996" customHeight="1" thickBot="1" x14ac:dyDescent="0.3">
      <c r="A28" s="12"/>
      <c r="B28" s="14"/>
      <c r="C28" s="13"/>
      <c r="D28" s="14"/>
      <c r="E28" s="14"/>
      <c r="F28" s="14"/>
      <c r="G28" s="13"/>
      <c r="H28" s="14"/>
      <c r="I28" s="15"/>
      <c r="J28" s="12"/>
      <c r="K28" s="14"/>
      <c r="L28" s="13"/>
      <c r="M28" s="14"/>
      <c r="N28" s="14"/>
      <c r="O28" s="14"/>
      <c r="P28" s="13"/>
      <c r="Q28" s="14"/>
      <c r="R28" s="15"/>
    </row>
    <row r="29" spans="1:18" ht="15.75" thickBot="1" x14ac:dyDescent="0.3">
      <c r="A29" s="19"/>
      <c r="B29" s="69" t="s">
        <v>83</v>
      </c>
      <c r="C29" s="61"/>
      <c r="D29" s="411" t="str">
        <f>IF('City 3'!$D$2&lt;&gt;0,'City 3'!$D$2," ")</f>
        <v xml:space="preserve"> </v>
      </c>
      <c r="E29" s="412"/>
      <c r="F29" s="412"/>
      <c r="G29" s="412"/>
      <c r="H29" s="413"/>
      <c r="I29" s="18"/>
      <c r="J29" s="19"/>
      <c r="K29" s="69" t="s">
        <v>83</v>
      </c>
      <c r="L29" s="61"/>
      <c r="M29" s="411" t="str">
        <f>IF('City 4'!$D$2&lt;&gt;0,'City 4'!$D$2," ")</f>
        <v xml:space="preserve"> </v>
      </c>
      <c r="N29" s="412"/>
      <c r="O29" s="412"/>
      <c r="P29" s="412"/>
      <c r="Q29" s="413"/>
      <c r="R29" s="18"/>
    </row>
    <row r="30" spans="1:18" s="1" customFormat="1" ht="3" customHeight="1" thickBot="1" x14ac:dyDescent="0.3">
      <c r="A30" s="33"/>
      <c r="B30" s="61"/>
      <c r="C30" s="61"/>
      <c r="D30" s="45"/>
      <c r="E30" s="11"/>
      <c r="F30" s="61"/>
      <c r="G30" s="61"/>
      <c r="H30" s="11"/>
      <c r="I30" s="22"/>
      <c r="J30" s="33"/>
      <c r="K30" s="61"/>
      <c r="L30" s="61"/>
      <c r="M30" s="45"/>
      <c r="N30" s="11"/>
      <c r="O30" s="61"/>
      <c r="P30" s="61"/>
      <c r="Q30" s="11"/>
      <c r="R30" s="22"/>
    </row>
    <row r="31" spans="1:18" ht="15.75" thickBot="1" x14ac:dyDescent="0.3">
      <c r="A31" s="19"/>
      <c r="B31" s="92" t="s">
        <v>49</v>
      </c>
      <c r="C31" s="62"/>
      <c r="D31" s="46" t="str">
        <f>IF('City 3'!$D$4&lt;&gt;0,'City 3'!$D$4," ")</f>
        <v xml:space="preserve"> </v>
      </c>
      <c r="E31" s="81"/>
      <c r="F31" s="92" t="s">
        <v>43</v>
      </c>
      <c r="G31" s="62"/>
      <c r="H31" s="46" t="str">
        <f>IF('City 3'!$T$6&lt;&gt;0,'City 3'!$T$6," ")</f>
        <v xml:space="preserve"> </v>
      </c>
      <c r="I31" s="18"/>
      <c r="J31" s="19"/>
      <c r="K31" s="92" t="s">
        <v>49</v>
      </c>
      <c r="L31" s="62"/>
      <c r="M31" s="46" t="str">
        <f>IF('City 4'!$D$4&lt;&gt;0,'City 4'!$D$4," ")</f>
        <v xml:space="preserve"> </v>
      </c>
      <c r="N31" s="81"/>
      <c r="O31" s="92" t="s">
        <v>43</v>
      </c>
      <c r="P31" s="62"/>
      <c r="Q31" s="46" t="str">
        <f>IF('City 4'!$T$6&lt;&gt;0,'City 4'!$T$6," ")</f>
        <v xml:space="preserve"> </v>
      </c>
      <c r="R31" s="18"/>
    </row>
    <row r="32" spans="1:18" s="1" customFormat="1" ht="3" customHeight="1" thickBot="1" x14ac:dyDescent="0.3">
      <c r="A32" s="33"/>
      <c r="B32" s="61"/>
      <c r="C32" s="61"/>
      <c r="D32" s="21"/>
      <c r="E32" s="21"/>
      <c r="F32" s="11"/>
      <c r="G32" s="11"/>
      <c r="H32" s="11"/>
      <c r="I32" s="22"/>
      <c r="J32" s="33"/>
      <c r="K32" s="61"/>
      <c r="L32" s="61"/>
      <c r="M32" s="21"/>
      <c r="N32" s="21"/>
      <c r="O32" s="11"/>
      <c r="P32" s="11"/>
      <c r="Q32" s="11"/>
      <c r="R32" s="22"/>
    </row>
    <row r="33" spans="1:18" ht="15.75" thickBot="1" x14ac:dyDescent="0.3">
      <c r="A33" s="19"/>
      <c r="B33" s="92" t="s">
        <v>50</v>
      </c>
      <c r="C33" s="62"/>
      <c r="D33" s="46" t="str">
        <f>IF('City 3'!$D$6&lt;&gt;0,'City 3'!$D$6," ")</f>
        <v xml:space="preserve"> </v>
      </c>
      <c r="E33" s="81"/>
      <c r="F33" s="92" t="s">
        <v>95</v>
      </c>
      <c r="G33" s="62"/>
      <c r="H33" s="46">
        <f>IF('City 3'!$AJ$4&lt;&gt;0,'City 3'!$AJ$4,0)</f>
        <v>0</v>
      </c>
      <c r="I33" s="18"/>
      <c r="J33" s="19"/>
      <c r="K33" s="92" t="s">
        <v>50</v>
      </c>
      <c r="L33" s="62"/>
      <c r="M33" s="46" t="str">
        <f>IF('City 4'!$D$6&lt;&gt;0,'City 4'!$D$6," ")</f>
        <v xml:space="preserve"> </v>
      </c>
      <c r="N33" s="81"/>
      <c r="O33" s="92" t="s">
        <v>95</v>
      </c>
      <c r="P33" s="62"/>
      <c r="Q33" s="46">
        <f>IF('City 4'!$AJ$4&lt;&gt;0,'City 4'!$AJ$4,0)</f>
        <v>0</v>
      </c>
      <c r="R33" s="18"/>
    </row>
    <row r="34" spans="1:18" s="1" customFormat="1" ht="3" customHeight="1" thickBot="1" x14ac:dyDescent="0.3">
      <c r="A34" s="33"/>
      <c r="B34" s="61"/>
      <c r="C34" s="61"/>
      <c r="D34" s="21"/>
      <c r="E34" s="21"/>
      <c r="F34" s="11"/>
      <c r="G34" s="11"/>
      <c r="H34" s="11"/>
      <c r="I34" s="22"/>
      <c r="J34" s="33"/>
      <c r="K34" s="61"/>
      <c r="L34" s="61"/>
      <c r="M34" s="21"/>
      <c r="N34" s="21"/>
      <c r="O34" s="11"/>
      <c r="P34" s="11"/>
      <c r="Q34" s="11"/>
      <c r="R34" s="22"/>
    </row>
    <row r="35" spans="1:18" ht="15.75" thickBot="1" x14ac:dyDescent="0.3">
      <c r="A35" s="19"/>
      <c r="B35" s="92" t="s">
        <v>51</v>
      </c>
      <c r="C35" s="62"/>
      <c r="D35" s="46" t="str">
        <f>IF('City 3'!$T$4&lt;&gt;0,'City 3'!$T$4," ")</f>
        <v xml:space="preserve"> </v>
      </c>
      <c r="E35" s="81"/>
      <c r="F35" s="359" t="s">
        <v>148</v>
      </c>
      <c r="G35" s="417"/>
      <c r="H35" s="417"/>
      <c r="I35" s="18"/>
      <c r="J35" s="19"/>
      <c r="K35" s="92" t="s">
        <v>51</v>
      </c>
      <c r="L35" s="62"/>
      <c r="M35" s="46" t="str">
        <f>IF('City 4'!$T$4&lt;&gt;0,'City 4'!$T$4," ")</f>
        <v xml:space="preserve"> </v>
      </c>
      <c r="N35" s="81"/>
      <c r="O35" s="359" t="s">
        <v>148</v>
      </c>
      <c r="P35" s="417"/>
      <c r="Q35" s="417"/>
      <c r="R35" s="18"/>
    </row>
    <row r="36" spans="1:18" s="1" customFormat="1" ht="3" customHeight="1" thickBot="1" x14ac:dyDescent="0.3">
      <c r="A36" s="33"/>
      <c r="B36" s="62"/>
      <c r="C36" s="62"/>
      <c r="D36" s="21"/>
      <c r="E36" s="21"/>
      <c r="F36" s="5"/>
      <c r="G36" s="11"/>
      <c r="H36" s="5"/>
      <c r="I36" s="22"/>
      <c r="J36" s="33"/>
      <c r="K36" s="62"/>
      <c r="L36" s="62"/>
      <c r="M36" s="21"/>
      <c r="N36" s="21"/>
      <c r="O36" s="5"/>
      <c r="P36" s="11"/>
      <c r="Q36" s="5"/>
      <c r="R36" s="22"/>
    </row>
    <row r="37" spans="1:18" x14ac:dyDescent="0.25">
      <c r="A37" s="19"/>
      <c r="B37" s="359" t="s">
        <v>149</v>
      </c>
      <c r="C37" s="417"/>
      <c r="D37" s="417"/>
      <c r="E37" s="81"/>
      <c r="F37" s="427" t="str">
        <f>IF('City 3'!$D$26&gt;0, 'City 3'!$B$26, (IF('City 3'!$D$36&gt;0, 'City 3'!$B$36, (IF('City 3'!$D$16&gt;0, 'City 3'!$B$36, (IF('City 3'!$AJ$34&gt;0, 'City 3'!$AF$34," ")))))))</f>
        <v xml:space="preserve"> </v>
      </c>
      <c r="G37" s="428"/>
      <c r="H37" s="429"/>
      <c r="I37" s="18"/>
      <c r="J37" s="19"/>
      <c r="K37" s="359" t="s">
        <v>149</v>
      </c>
      <c r="L37" s="417"/>
      <c r="M37" s="417"/>
      <c r="N37" s="81"/>
      <c r="O37" s="427" t="str">
        <f>IF('City 4'!$D$26&gt;0, 'City 4'!$B$26, (IF('City 4'!$D$36&gt;0, 'City 4'!$B$36, (IF('City 4'!$D$16&gt;0, 'City 4'!$B$36, (IF('City 4'!$AJ$34&gt;0, 'City 4'!$AF$34," ")))))))</f>
        <v xml:space="preserve"> </v>
      </c>
      <c r="P37" s="428"/>
      <c r="Q37" s="429"/>
      <c r="R37" s="18"/>
    </row>
    <row r="38" spans="1:18" s="1" customFormat="1" ht="3" customHeight="1" thickBot="1" x14ac:dyDescent="0.3">
      <c r="A38" s="33"/>
      <c r="B38" s="5"/>
      <c r="C38" s="11"/>
      <c r="D38" s="5"/>
      <c r="E38" s="21"/>
      <c r="F38" s="409"/>
      <c r="G38" s="405"/>
      <c r="H38" s="410"/>
      <c r="I38" s="22"/>
      <c r="J38" s="33"/>
      <c r="K38" s="5"/>
      <c r="L38" s="11"/>
      <c r="M38" s="5"/>
      <c r="N38" s="21"/>
      <c r="O38" s="409"/>
      <c r="P38" s="405"/>
      <c r="Q38" s="410"/>
      <c r="R38" s="22"/>
    </row>
    <row r="39" spans="1:18" ht="15.75" thickBot="1" x14ac:dyDescent="0.3">
      <c r="A39" s="19"/>
      <c r="B39" s="92" t="s">
        <v>96</v>
      </c>
      <c r="C39" s="62"/>
      <c r="D39" s="46" t="str">
        <f>IF('City 3'!$AJ$2&lt;&gt;0,'City 3'!$AJ$2," ")</f>
        <v xml:space="preserve"> </v>
      </c>
      <c r="E39" s="81"/>
      <c r="F39" s="409" t="str">
        <f>(IF('City 3'!$D$28&gt;0, 'City 3'!$B$28, (IF('City 3'!$AJ$24&gt;0, 'City 3'!$AF$24, (IF('City 3'!$AJ$14&gt;0, 'City 3'!$AF$14," "))))))</f>
        <v xml:space="preserve"> </v>
      </c>
      <c r="G39" s="405"/>
      <c r="H39" s="410"/>
      <c r="I39" s="18"/>
      <c r="J39" s="19"/>
      <c r="K39" s="92" t="s">
        <v>96</v>
      </c>
      <c r="L39" s="62"/>
      <c r="M39" s="46" t="str">
        <f>IF('City 4'!$AJ$2&lt;&gt;0,'City 4'!$AJ$2," ")</f>
        <v xml:space="preserve"> </v>
      </c>
      <c r="N39" s="81"/>
      <c r="O39" s="409" t="str">
        <f>(IF('City 4'!$D$28&gt;0, 'City 4'!$B$28, (IF('City 4'!$AJ$24&gt;0, 'City 4'!$AF$24, (IF('City 4'!$AJ$14&gt;0, 'City 4'!$AF$14," "))))))</f>
        <v xml:space="preserve"> </v>
      </c>
      <c r="P39" s="405"/>
      <c r="Q39" s="410"/>
      <c r="R39" s="18"/>
    </row>
    <row r="40" spans="1:18" s="1" customFormat="1" ht="3" customHeight="1" thickBot="1" x14ac:dyDescent="0.3">
      <c r="A40" s="33"/>
      <c r="B40" s="5"/>
      <c r="C40" s="11"/>
      <c r="D40" s="5"/>
      <c r="E40" s="45"/>
      <c r="F40" s="409"/>
      <c r="G40" s="405"/>
      <c r="H40" s="410"/>
      <c r="I40" s="22"/>
      <c r="J40" s="33"/>
      <c r="K40" s="5"/>
      <c r="L40" s="11"/>
      <c r="M40" s="5"/>
      <c r="N40" s="45"/>
      <c r="O40" s="409"/>
      <c r="P40" s="405"/>
      <c r="Q40" s="410"/>
      <c r="R40" s="22"/>
    </row>
    <row r="41" spans="1:18" ht="15.75" thickBot="1" x14ac:dyDescent="0.3">
      <c r="A41" s="19"/>
      <c r="B41" s="92" t="s">
        <v>97</v>
      </c>
      <c r="D41" s="46" t="str">
        <f>IF('City 3'!$D$42&lt;&gt;0,'City 3'!$D$42," ")</f>
        <v xml:space="preserve"> </v>
      </c>
      <c r="F41" s="409" t="str">
        <f>(IF('City 3'!$D$14&gt;0, 'City 3'!$B$14, (IF('City 3'!$AJ$28&gt;0, 'City 3'!$AF$28, (IF('City 3'!$AJ$22&gt;0, 'City 3'!$AF$22, (IF('City 3'!$T$18&gt;0, 'City 3'!$P$18, (IF('City 3'!$D$22&gt;0, 'City 3'!$B$22, (IF('City 3'!$T$38&gt;0, 'City 3'!$P$38," "))))))))))))</f>
        <v xml:space="preserve"> </v>
      </c>
      <c r="G41" s="405"/>
      <c r="H41" s="410"/>
      <c r="I41" s="18"/>
      <c r="J41" s="19"/>
      <c r="K41" s="92" t="s">
        <v>97</v>
      </c>
      <c r="M41" s="46" t="str">
        <f>IF('City 4'!$D$42&lt;&gt;0,'City 4'!$D$42," ")</f>
        <v xml:space="preserve"> </v>
      </c>
      <c r="O41" s="409" t="str">
        <f>(IF('City 4'!$D$14&gt;0, 'City 4'!$B$14, (IF('City 4'!$AJ$28&gt;0, 'City 4'!$AF$28, (IF('City 4'!$AJ$22&gt;0, 'City 4'!$AF$22, (IF('City 4'!$T$18&gt;0, 'City 4'!$P$18, (IF('City 4'!$D$22&gt;0, 'City 4'!$B$22, (IF('City 4'!$T$38&gt;0, 'City 4'!$P$38," "))))))))))))</f>
        <v xml:space="preserve"> </v>
      </c>
      <c r="P41" s="405"/>
      <c r="Q41" s="410"/>
      <c r="R41" s="18"/>
    </row>
    <row r="42" spans="1:18" ht="3" customHeight="1" thickBot="1" x14ac:dyDescent="0.3">
      <c r="A42" s="19"/>
      <c r="B42" s="5"/>
      <c r="D42" s="5"/>
      <c r="F42" s="409"/>
      <c r="G42" s="405"/>
      <c r="H42" s="410"/>
      <c r="I42" s="18"/>
      <c r="J42" s="19"/>
      <c r="K42" s="5"/>
      <c r="M42" s="5"/>
      <c r="O42" s="409"/>
      <c r="P42" s="405"/>
      <c r="Q42" s="410"/>
      <c r="R42" s="18"/>
    </row>
    <row r="43" spans="1:18" ht="15.75" thickBot="1" x14ac:dyDescent="0.3">
      <c r="A43" s="19"/>
      <c r="B43" s="92" t="s">
        <v>152</v>
      </c>
      <c r="D43" s="46" t="str">
        <f>IF('City 3'!$T$42&lt;&gt;0,'City 3'!$T$42," ")</f>
        <v xml:space="preserve"> </v>
      </c>
      <c r="F43" s="409" t="str">
        <f>(IF('City 3'!$AJ$36&gt;0,'City 3'!$AF$36,(IF('City 3'!$T$26&gt;0,'City 3'!$P$26,(IF('City 3'!$T$30&gt;0,'City 3'!$P$30,(IF('City 3'!$D$18&gt;0,'City 3'!$B$18,(IF('City 3'!$T$24&gt;0,'City 3'!$P$24,(IF('City 3'!$AJ$12&gt;0,'City 3'!$AF$12," "))))))))))))</f>
        <v xml:space="preserve"> </v>
      </c>
      <c r="G43" s="405"/>
      <c r="H43" s="410"/>
      <c r="I43" s="18"/>
      <c r="J43" s="19"/>
      <c r="K43" s="92" t="s">
        <v>152</v>
      </c>
      <c r="M43" s="46" t="str">
        <f>IF('City 4'!$T$42&lt;&gt;0,'City 4'!$T$42," ")</f>
        <v xml:space="preserve"> </v>
      </c>
      <c r="O43" s="409" t="str">
        <f>(IF('City 4'!$AJ$36&gt;0,'City 4'!$AF$36,(IF('City 4'!$T$26&gt;0,'City 4'!$P$26,(IF('City 4'!$T$30&gt;0,'City 4'!$P$30,(IF('City 4'!$D$18&gt;0,'City 4'!$B$18,(IF('City 4'!$T$24&gt;0,'City 4'!$P$24,(IF('City 4'!$AJ$12&gt;0,'City 4'!$AF$12," "))))))))))))</f>
        <v xml:space="preserve"> </v>
      </c>
      <c r="P43" s="405"/>
      <c r="Q43" s="410"/>
      <c r="R43" s="18"/>
    </row>
    <row r="44" spans="1:18" ht="3" customHeight="1" thickBot="1" x14ac:dyDescent="0.3">
      <c r="A44" s="19"/>
      <c r="B44" s="5"/>
      <c r="D44" s="5"/>
      <c r="F44" s="409"/>
      <c r="G44" s="405"/>
      <c r="H44" s="410"/>
      <c r="I44" s="18"/>
      <c r="J44" s="19"/>
      <c r="K44" s="5"/>
      <c r="M44" s="5"/>
      <c r="O44" s="409"/>
      <c r="P44" s="405"/>
      <c r="Q44" s="410"/>
      <c r="R44" s="18"/>
    </row>
    <row r="45" spans="1:18" ht="15.75" thickBot="1" x14ac:dyDescent="0.3">
      <c r="A45" s="19"/>
      <c r="B45" s="92" t="s">
        <v>98</v>
      </c>
      <c r="D45" s="46" t="str">
        <f>IF('City 3'!$AJ$42&lt;&gt;0,'City 3'!$AJ$42," ")</f>
        <v xml:space="preserve"> </v>
      </c>
      <c r="F45" s="414" t="str">
        <f>(IF('City 3'!$T$12&gt;0,'City 3'!$P$12,(IF('City 3'!$D$20&gt;0,'City 3'!$B$34,(IF('City 3'!$AJ$32&gt;0,'City 3'!$AF$32,(IF('City 3'!$AJ$18&gt;0,'City 3'!$AF$18,(IF('City 3'!$T$14&gt;0,'City 3'!$P$14,(IF('City 3'!$T$32&gt;0,'City 3'!$P$32,(IF('City 3'!$AJ$16&gt;0,'City 3'!$AF$16,(IF('City 3'!$D$20&gt;0,'City 3'!$B$20," "))))))))))))))))</f>
        <v xml:space="preserve"> </v>
      </c>
      <c r="G45" s="415"/>
      <c r="H45" s="416"/>
      <c r="I45" s="18"/>
      <c r="J45" s="19"/>
      <c r="K45" s="92" t="s">
        <v>98</v>
      </c>
      <c r="M45" s="46" t="str">
        <f>IF('City 4'!$AJ$42&lt;&gt;0,'City 4'!$AJ$42," ")</f>
        <v xml:space="preserve"> </v>
      </c>
      <c r="O45" s="414" t="str">
        <f>(IF('City 4'!$T$12&gt;0,'City 4'!$P$12,(IF('City 4'!$D$20&gt;0,'City 4'!$B$34,(IF('City 4'!$AJ$32&gt;0,'City 4'!$AF$32,(IF('City 4'!$AJ$18&gt;0,'City 4'!$AF$18,(IF('City 4'!$T$14&gt;0,'City 4'!$P$14,(IF('City 4'!$T$32&gt;0,'City 4'!$P$32,(IF('City 4'!$AJ$16&gt;0,'City 4'!$AF$16,(IF('City 4'!$D$20&gt;0,'City 4'!$B$20," "))))))))))))))))</f>
        <v xml:space="preserve"> </v>
      </c>
      <c r="P45" s="415"/>
      <c r="Q45" s="416"/>
      <c r="R45" s="18"/>
    </row>
    <row r="46" spans="1:18" ht="3" customHeight="1" x14ac:dyDescent="0.25">
      <c r="A46" s="19"/>
      <c r="B46" s="5"/>
      <c r="D46" s="5"/>
      <c r="F46" s="5"/>
      <c r="H46" s="5"/>
      <c r="I46" s="18"/>
      <c r="J46" s="19"/>
      <c r="K46" s="5"/>
      <c r="M46" s="5"/>
      <c r="O46" s="5"/>
      <c r="Q46" s="5"/>
      <c r="R46" s="18"/>
    </row>
    <row r="47" spans="1:18" x14ac:dyDescent="0.25">
      <c r="A47" s="19"/>
      <c r="B47" s="359" t="s">
        <v>104</v>
      </c>
      <c r="C47" s="417"/>
      <c r="D47" s="417"/>
      <c r="E47" s="405"/>
      <c r="F47" s="405"/>
      <c r="G47" s="405"/>
      <c r="H47" s="405"/>
      <c r="I47" s="18"/>
      <c r="J47" s="19"/>
      <c r="K47" s="359" t="s">
        <v>104</v>
      </c>
      <c r="L47" s="417"/>
      <c r="M47" s="417"/>
      <c r="N47" s="405"/>
      <c r="O47" s="405"/>
      <c r="P47" s="405"/>
      <c r="Q47" s="405"/>
      <c r="R47" s="18"/>
    </row>
    <row r="48" spans="1:18" ht="3" customHeight="1" thickBot="1" x14ac:dyDescent="0.3">
      <c r="A48" s="19"/>
      <c r="B48" s="5"/>
      <c r="D48" s="5"/>
      <c r="F48" s="5"/>
      <c r="H48" s="5"/>
      <c r="I48" s="18"/>
      <c r="J48" s="19"/>
      <c r="K48" s="5"/>
      <c r="M48" s="5"/>
      <c r="O48" s="5"/>
      <c r="Q48" s="5"/>
      <c r="R48" s="18"/>
    </row>
    <row r="49" spans="1:18" x14ac:dyDescent="0.25">
      <c r="A49" s="19"/>
      <c r="B49" s="418" t="str">
        <f>IF('City 3'!$B$58&lt;&gt;0,'City 3'!$B$58," ")</f>
        <v xml:space="preserve"> </v>
      </c>
      <c r="C49" s="419"/>
      <c r="D49" s="419"/>
      <c r="E49" s="419"/>
      <c r="F49" s="419"/>
      <c r="G49" s="419"/>
      <c r="H49" s="420"/>
      <c r="I49" s="18"/>
      <c r="J49" s="19"/>
      <c r="K49" s="418" t="str">
        <f>IF('City 4'!$B$58&lt;&gt;0,'City 4'!$B$58," ")</f>
        <v xml:space="preserve"> </v>
      </c>
      <c r="L49" s="419"/>
      <c r="M49" s="419"/>
      <c r="N49" s="419"/>
      <c r="O49" s="419"/>
      <c r="P49" s="419"/>
      <c r="Q49" s="420"/>
      <c r="R49" s="18"/>
    </row>
    <row r="50" spans="1:18" ht="3" customHeight="1" x14ac:dyDescent="0.25">
      <c r="A50" s="19"/>
      <c r="B50" s="421"/>
      <c r="C50" s="422"/>
      <c r="D50" s="422"/>
      <c r="E50" s="422"/>
      <c r="F50" s="422"/>
      <c r="G50" s="422"/>
      <c r="H50" s="423"/>
      <c r="I50" s="18"/>
      <c r="J50" s="19"/>
      <c r="K50" s="421"/>
      <c r="L50" s="422"/>
      <c r="M50" s="422"/>
      <c r="N50" s="422"/>
      <c r="O50" s="422"/>
      <c r="P50" s="422"/>
      <c r="Q50" s="423"/>
      <c r="R50" s="18"/>
    </row>
    <row r="51" spans="1:18" x14ac:dyDescent="0.25">
      <c r="A51" s="19"/>
      <c r="B51" s="421"/>
      <c r="C51" s="422"/>
      <c r="D51" s="422"/>
      <c r="E51" s="422"/>
      <c r="F51" s="422"/>
      <c r="G51" s="422"/>
      <c r="H51" s="423"/>
      <c r="I51" s="18"/>
      <c r="J51" s="19"/>
      <c r="K51" s="421"/>
      <c r="L51" s="422"/>
      <c r="M51" s="422"/>
      <c r="N51" s="422"/>
      <c r="O51" s="422"/>
      <c r="P51" s="422"/>
      <c r="Q51" s="423"/>
      <c r="R51" s="18"/>
    </row>
    <row r="52" spans="1:18" x14ac:dyDescent="0.25">
      <c r="A52" s="19"/>
      <c r="B52" s="421"/>
      <c r="C52" s="422"/>
      <c r="D52" s="422"/>
      <c r="E52" s="422"/>
      <c r="F52" s="422"/>
      <c r="G52" s="422"/>
      <c r="H52" s="423"/>
      <c r="I52" s="18"/>
      <c r="J52" s="19"/>
      <c r="K52" s="421"/>
      <c r="L52" s="422"/>
      <c r="M52" s="422"/>
      <c r="N52" s="422"/>
      <c r="O52" s="422"/>
      <c r="P52" s="422"/>
      <c r="Q52" s="423"/>
      <c r="R52" s="18"/>
    </row>
    <row r="53" spans="1:18" ht="15.75" thickBot="1" x14ac:dyDescent="0.3">
      <c r="A53" s="19"/>
      <c r="B53" s="424"/>
      <c r="C53" s="425"/>
      <c r="D53" s="425"/>
      <c r="E53" s="425"/>
      <c r="F53" s="425"/>
      <c r="G53" s="425"/>
      <c r="H53" s="426"/>
      <c r="I53" s="18"/>
      <c r="J53" s="19"/>
      <c r="K53" s="424"/>
      <c r="L53" s="425"/>
      <c r="M53" s="425"/>
      <c r="N53" s="425"/>
      <c r="O53" s="425"/>
      <c r="P53" s="425"/>
      <c r="Q53" s="426"/>
      <c r="R53" s="18"/>
    </row>
    <row r="54" spans="1:18" ht="5.0999999999999996" customHeight="1" thickBot="1" x14ac:dyDescent="0.3">
      <c r="A54" s="34"/>
      <c r="B54" s="4"/>
      <c r="C54" s="28"/>
      <c r="D54" s="4"/>
      <c r="E54" s="4"/>
      <c r="F54" s="4"/>
      <c r="G54" s="28"/>
      <c r="H54" s="4"/>
      <c r="I54" s="29"/>
      <c r="J54" s="34"/>
      <c r="K54" s="4"/>
      <c r="L54" s="28"/>
      <c r="M54" s="4"/>
      <c r="N54" s="4"/>
      <c r="O54" s="4"/>
      <c r="P54" s="28"/>
      <c r="Q54" s="4"/>
      <c r="R54" s="29"/>
    </row>
    <row r="55" spans="1:18" ht="5.0999999999999996" customHeight="1" thickBot="1" x14ac:dyDescent="0.3">
      <c r="A55" s="12"/>
      <c r="B55" s="14"/>
      <c r="C55" s="13"/>
      <c r="D55" s="14"/>
      <c r="E55" s="14"/>
      <c r="F55" s="14"/>
      <c r="G55" s="13"/>
      <c r="H55" s="14"/>
      <c r="I55" s="15"/>
      <c r="J55" s="12"/>
      <c r="K55" s="14"/>
      <c r="L55" s="13"/>
      <c r="M55" s="14"/>
      <c r="N55" s="14"/>
      <c r="O55" s="14"/>
      <c r="P55" s="13"/>
      <c r="Q55" s="14"/>
      <c r="R55" s="15"/>
    </row>
    <row r="56" spans="1:18" ht="15.75" thickBot="1" x14ac:dyDescent="0.3">
      <c r="A56" s="19"/>
      <c r="B56" s="69" t="s">
        <v>83</v>
      </c>
      <c r="C56" s="61"/>
      <c r="D56" s="411" t="str">
        <f>IF('City 5'!$D$2&lt;&gt;0,'City 5'!$D$2," ")</f>
        <v xml:space="preserve"> </v>
      </c>
      <c r="E56" s="412"/>
      <c r="F56" s="412"/>
      <c r="G56" s="412"/>
      <c r="H56" s="413"/>
      <c r="I56" s="18"/>
      <c r="J56" s="19"/>
      <c r="K56" s="69" t="s">
        <v>83</v>
      </c>
      <c r="L56" s="61"/>
      <c r="M56" s="411" t="str">
        <f>IF('City 6'!$D$2&lt;&gt;0,'City 6'!$D$2," ")</f>
        <v xml:space="preserve"> </v>
      </c>
      <c r="N56" s="412"/>
      <c r="O56" s="412"/>
      <c r="P56" s="412"/>
      <c r="Q56" s="413"/>
      <c r="R56" s="18"/>
    </row>
    <row r="57" spans="1:18" s="1" customFormat="1" ht="3" customHeight="1" thickBot="1" x14ac:dyDescent="0.3">
      <c r="A57" s="33"/>
      <c r="B57" s="61"/>
      <c r="C57" s="61"/>
      <c r="D57" s="45"/>
      <c r="E57" s="11"/>
      <c r="F57" s="61"/>
      <c r="G57" s="61"/>
      <c r="H57" s="11"/>
      <c r="I57" s="22"/>
      <c r="J57" s="33"/>
      <c r="K57" s="61"/>
      <c r="L57" s="61"/>
      <c r="M57" s="45"/>
      <c r="N57" s="11"/>
      <c r="O57" s="61"/>
      <c r="P57" s="61"/>
      <c r="Q57" s="11"/>
      <c r="R57" s="22"/>
    </row>
    <row r="58" spans="1:18" ht="15.75" thickBot="1" x14ac:dyDescent="0.3">
      <c r="A58" s="19"/>
      <c r="B58" s="92" t="s">
        <v>49</v>
      </c>
      <c r="C58" s="62"/>
      <c r="D58" s="46" t="str">
        <f>IF('City 5'!$D$4&lt;&gt;0,'City 5'!$D$4," ")</f>
        <v xml:space="preserve"> </v>
      </c>
      <c r="E58" s="81"/>
      <c r="F58" s="92" t="s">
        <v>43</v>
      </c>
      <c r="G58" s="62"/>
      <c r="H58" s="46" t="str">
        <f>IF('City 5'!$T$6&lt;&gt;0,'City 5'!$T$6," ")</f>
        <v xml:space="preserve"> </v>
      </c>
      <c r="I58" s="18"/>
      <c r="J58" s="19"/>
      <c r="K58" s="92" t="s">
        <v>49</v>
      </c>
      <c r="L58" s="62"/>
      <c r="M58" s="46" t="str">
        <f>IF('City 6'!$D$4&lt;&gt;0,'City 6'!$D$4," ")</f>
        <v xml:space="preserve"> </v>
      </c>
      <c r="N58" s="81"/>
      <c r="O58" s="92" t="s">
        <v>43</v>
      </c>
      <c r="P58" s="62"/>
      <c r="Q58" s="46" t="str">
        <f>IF('City 6'!$T$6&lt;&gt;0,'City 6'!$T$6," ")</f>
        <v xml:space="preserve"> </v>
      </c>
      <c r="R58" s="18"/>
    </row>
    <row r="59" spans="1:18" s="1" customFormat="1" ht="3" customHeight="1" thickBot="1" x14ac:dyDescent="0.3">
      <c r="A59" s="33"/>
      <c r="B59" s="61"/>
      <c r="C59" s="61"/>
      <c r="D59" s="21"/>
      <c r="E59" s="21"/>
      <c r="F59" s="11"/>
      <c r="G59" s="11"/>
      <c r="H59" s="11"/>
      <c r="I59" s="22"/>
      <c r="J59" s="33"/>
      <c r="K59" s="61"/>
      <c r="L59" s="61"/>
      <c r="M59" s="21"/>
      <c r="N59" s="21"/>
      <c r="O59" s="11"/>
      <c r="P59" s="11"/>
      <c r="Q59" s="11"/>
      <c r="R59" s="22"/>
    </row>
    <row r="60" spans="1:18" ht="15.75" thickBot="1" x14ac:dyDescent="0.3">
      <c r="A60" s="19"/>
      <c r="B60" s="92" t="s">
        <v>50</v>
      </c>
      <c r="C60" s="62"/>
      <c r="D60" s="46" t="str">
        <f>IF('City 5'!$D$6&lt;&gt;0,'City 5'!$D$6," ")</f>
        <v xml:space="preserve"> </v>
      </c>
      <c r="E60" s="81"/>
      <c r="F60" s="92" t="s">
        <v>95</v>
      </c>
      <c r="G60" s="62"/>
      <c r="H60" s="46">
        <f>IF('City 5'!$AJ$4&lt;&gt;0,'City 5'!$AJ$4,0)</f>
        <v>0</v>
      </c>
      <c r="I60" s="18"/>
      <c r="J60" s="19"/>
      <c r="K60" s="92" t="s">
        <v>50</v>
      </c>
      <c r="L60" s="62"/>
      <c r="M60" s="46" t="str">
        <f>IF('City 6'!$D$6&lt;&gt;0,'City 6'!$D$6," ")</f>
        <v xml:space="preserve"> </v>
      </c>
      <c r="N60" s="81"/>
      <c r="O60" s="92" t="s">
        <v>95</v>
      </c>
      <c r="P60" s="62"/>
      <c r="Q60" s="46">
        <f>IF('City 6'!$AJ$4&lt;&gt;0,'City 6'!$AJ$4,0)</f>
        <v>0</v>
      </c>
      <c r="R60" s="18"/>
    </row>
    <row r="61" spans="1:18" s="1" customFormat="1" ht="3" customHeight="1" thickBot="1" x14ac:dyDescent="0.3">
      <c r="A61" s="33"/>
      <c r="B61" s="61"/>
      <c r="C61" s="61"/>
      <c r="D61" s="21"/>
      <c r="E61" s="21"/>
      <c r="F61" s="11"/>
      <c r="G61" s="11"/>
      <c r="H61" s="11"/>
      <c r="I61" s="22"/>
      <c r="J61" s="33"/>
      <c r="K61" s="61"/>
      <c r="L61" s="61"/>
      <c r="M61" s="21"/>
      <c r="N61" s="21"/>
      <c r="O61" s="11"/>
      <c r="P61" s="11"/>
      <c r="Q61" s="11"/>
      <c r="R61" s="22"/>
    </row>
    <row r="62" spans="1:18" ht="15.75" thickBot="1" x14ac:dyDescent="0.3">
      <c r="A62" s="19"/>
      <c r="B62" s="92" t="s">
        <v>51</v>
      </c>
      <c r="C62" s="62"/>
      <c r="D62" s="46" t="str">
        <f>IF('City 5'!$T$4&lt;&gt;0,'City 5'!$T$4," ")</f>
        <v xml:space="preserve"> </v>
      </c>
      <c r="E62" s="81"/>
      <c r="F62" s="359" t="s">
        <v>148</v>
      </c>
      <c r="G62" s="417"/>
      <c r="H62" s="417"/>
      <c r="I62" s="18"/>
      <c r="J62" s="19"/>
      <c r="K62" s="92" t="s">
        <v>51</v>
      </c>
      <c r="L62" s="62"/>
      <c r="M62" s="46" t="str">
        <f>IF('City 6'!$T$4&lt;&gt;0,'City 6'!$T$4," ")</f>
        <v xml:space="preserve"> </v>
      </c>
      <c r="N62" s="81"/>
      <c r="O62" s="359" t="s">
        <v>148</v>
      </c>
      <c r="P62" s="417"/>
      <c r="Q62" s="417"/>
      <c r="R62" s="18"/>
    </row>
    <row r="63" spans="1:18" s="1" customFormat="1" ht="3" customHeight="1" thickBot="1" x14ac:dyDescent="0.3">
      <c r="A63" s="33"/>
      <c r="B63" s="62"/>
      <c r="C63" s="62"/>
      <c r="D63" s="21"/>
      <c r="E63" s="21"/>
      <c r="F63" s="5"/>
      <c r="G63" s="11"/>
      <c r="H63" s="5"/>
      <c r="I63" s="22"/>
      <c r="J63" s="33"/>
      <c r="K63" s="62"/>
      <c r="L63" s="62"/>
      <c r="M63" s="21"/>
      <c r="N63" s="21"/>
      <c r="O63" s="5"/>
      <c r="P63" s="11"/>
      <c r="Q63" s="5"/>
      <c r="R63" s="22"/>
    </row>
    <row r="64" spans="1:18" x14ac:dyDescent="0.25">
      <c r="A64" s="19"/>
      <c r="B64" s="359" t="s">
        <v>149</v>
      </c>
      <c r="C64" s="417"/>
      <c r="D64" s="417"/>
      <c r="E64" s="81"/>
      <c r="F64" s="427" t="str">
        <f>IF('City 5'!$D$26&gt;0, 'City 5'!$B$26, (IF('City 5'!$D$36&gt;0, 'City 5'!$B$36, (IF('City 5'!$D$16&gt;0, 'City 5'!$B$36, (IF('City 5'!$AJ$34&gt;0, 'City 5'!$AF$34," ")))))))</f>
        <v xml:space="preserve"> </v>
      </c>
      <c r="G64" s="428"/>
      <c r="H64" s="429"/>
      <c r="I64" s="18"/>
      <c r="J64" s="19"/>
      <c r="K64" s="359" t="s">
        <v>149</v>
      </c>
      <c r="L64" s="417"/>
      <c r="M64" s="417"/>
      <c r="N64" s="81"/>
      <c r="O64" s="427" t="str">
        <f>IF('City 6'!$D$26&gt;0, 'City 6'!$B$26, (IF('City 6'!$D$36&gt;0, 'City 6'!$B$36, (IF('City 6'!$D$16&gt;0, 'City 6'!$B$36, (IF('City 6'!$AJ$34&gt;0, 'City 6'!$AF$34," ")))))))</f>
        <v xml:space="preserve"> </v>
      </c>
      <c r="P64" s="428"/>
      <c r="Q64" s="429"/>
      <c r="R64" s="18"/>
    </row>
    <row r="65" spans="1:18" s="1" customFormat="1" ht="3" customHeight="1" thickBot="1" x14ac:dyDescent="0.3">
      <c r="A65" s="33"/>
      <c r="B65" s="5"/>
      <c r="C65" s="11"/>
      <c r="D65" s="5"/>
      <c r="E65" s="21"/>
      <c r="F65" s="409"/>
      <c r="G65" s="405"/>
      <c r="H65" s="410"/>
      <c r="I65" s="22"/>
      <c r="J65" s="33"/>
      <c r="K65" s="5"/>
      <c r="L65" s="11"/>
      <c r="M65" s="5"/>
      <c r="N65" s="21"/>
      <c r="O65" s="409"/>
      <c r="P65" s="405"/>
      <c r="Q65" s="410"/>
      <c r="R65" s="22"/>
    </row>
    <row r="66" spans="1:18" ht="15.75" thickBot="1" x14ac:dyDescent="0.3">
      <c r="A66" s="19"/>
      <c r="B66" s="92" t="s">
        <v>96</v>
      </c>
      <c r="C66" s="62"/>
      <c r="D66" s="46" t="str">
        <f>IF('City 5'!$AJ$2&lt;&gt;0,'City 5'!$AJ$2," ")</f>
        <v xml:space="preserve"> </v>
      </c>
      <c r="E66" s="81"/>
      <c r="F66" s="409" t="str">
        <f>(IF('City 5'!$D$28&gt;0, 'City 5'!$B$28, (IF('City 5'!$AJ$24&gt;0, 'City 5'!$AF$24, (IF('City 5'!$AJ$14&gt;0, 'City 5'!$AF$14," "))))))</f>
        <v xml:space="preserve"> </v>
      </c>
      <c r="G66" s="405"/>
      <c r="H66" s="410"/>
      <c r="I66" s="18"/>
      <c r="J66" s="19"/>
      <c r="K66" s="92" t="s">
        <v>96</v>
      </c>
      <c r="L66" s="62"/>
      <c r="M66" s="46" t="str">
        <f>IF('City 6'!$AJ$2&lt;&gt;0,'City 6'!$AJ$2," ")</f>
        <v xml:space="preserve"> </v>
      </c>
      <c r="N66" s="81"/>
      <c r="O66" s="409" t="str">
        <f>(IF('City 6'!$D$28&gt;0, 'City 6'!$B$28, (IF('City 6'!$AJ$24&gt;0, 'City 6'!$AF$24, (IF('City 6'!$AJ$14&gt;0, 'City 6'!$AF$14," "))))))</f>
        <v xml:space="preserve"> </v>
      </c>
      <c r="P66" s="405"/>
      <c r="Q66" s="410"/>
      <c r="R66" s="18"/>
    </row>
    <row r="67" spans="1:18" s="1" customFormat="1" ht="3" customHeight="1" thickBot="1" x14ac:dyDescent="0.3">
      <c r="A67" s="33"/>
      <c r="B67" s="5"/>
      <c r="C67" s="11"/>
      <c r="D67" s="5"/>
      <c r="E67" s="45"/>
      <c r="F67" s="409"/>
      <c r="G67" s="405"/>
      <c r="H67" s="410"/>
      <c r="I67" s="22"/>
      <c r="J67" s="33"/>
      <c r="K67" s="5"/>
      <c r="L67" s="11"/>
      <c r="M67" s="5"/>
      <c r="N67" s="45"/>
      <c r="O67" s="409"/>
      <c r="P67" s="405"/>
      <c r="Q67" s="410"/>
      <c r="R67" s="22"/>
    </row>
    <row r="68" spans="1:18" ht="15.75" thickBot="1" x14ac:dyDescent="0.3">
      <c r="A68" s="19"/>
      <c r="B68" s="92" t="s">
        <v>97</v>
      </c>
      <c r="D68" s="46" t="str">
        <f>IF('City 5'!$D$42&lt;&gt;0,'City 5'!$D$42," ")</f>
        <v xml:space="preserve"> </v>
      </c>
      <c r="F68" s="409" t="str">
        <f>(IF('City 5'!$D$14&gt;0, 'City 5'!$B$14, (IF('City 5'!$AJ$28&gt;0, 'City 5'!$AF$28, (IF('City 5'!$AJ$22&gt;0, 'City 5'!$AF$22, (IF('City 5'!$T$18&gt;0, 'City 5'!$P$18, (IF('City 5'!$D$22&gt;0, 'City 5'!$B$22, (IF('City 5'!$T$38&gt;0, 'City 5'!$P$38," "))))))))))))</f>
        <v xml:space="preserve"> </v>
      </c>
      <c r="G68" s="405"/>
      <c r="H68" s="410"/>
      <c r="I68" s="18"/>
      <c r="J68" s="19"/>
      <c r="K68" s="92" t="s">
        <v>97</v>
      </c>
      <c r="M68" s="46" t="str">
        <f>IF('City 6'!$D$42&lt;&gt;0,'City 6'!$D$42," ")</f>
        <v xml:space="preserve"> </v>
      </c>
      <c r="O68" s="409" t="str">
        <f>(IF('City 6'!$D$14&gt;0, 'City 6'!$B$14, (IF('City 6'!$AJ$28&gt;0, 'City 6'!$AF$28, (IF('City 6'!$AJ$22&gt;0, 'City 6'!$AF$22, (IF('City 6'!$T$18&gt;0, 'City 6'!$P$18, (IF('City 6'!$D$22&gt;0, 'City 6'!$B$22, (IF('City 6'!$T$38&gt;0, 'City 6'!$P$38," "))))))))))))</f>
        <v xml:space="preserve"> </v>
      </c>
      <c r="P68" s="405"/>
      <c r="Q68" s="410"/>
      <c r="R68" s="18"/>
    </row>
    <row r="69" spans="1:18" ht="3" customHeight="1" thickBot="1" x14ac:dyDescent="0.3">
      <c r="A69" s="19"/>
      <c r="B69" s="5"/>
      <c r="D69" s="5"/>
      <c r="F69" s="409"/>
      <c r="G69" s="405"/>
      <c r="H69" s="410"/>
      <c r="I69" s="18"/>
      <c r="J69" s="19"/>
      <c r="K69" s="5"/>
      <c r="M69" s="5"/>
      <c r="O69" s="409"/>
      <c r="P69" s="405"/>
      <c r="Q69" s="410"/>
      <c r="R69" s="18"/>
    </row>
    <row r="70" spans="1:18" ht="15.75" thickBot="1" x14ac:dyDescent="0.3">
      <c r="A70" s="19"/>
      <c r="B70" s="92" t="s">
        <v>152</v>
      </c>
      <c r="D70" s="46" t="str">
        <f>IF('City 5'!$T$42&lt;&gt;0,'City 5'!$T$42," ")</f>
        <v xml:space="preserve"> </v>
      </c>
      <c r="F70" s="409" t="str">
        <f>(IF('City 5'!$AJ$36&gt;0,'City 5'!$AF$36,(IF('City 5'!$T$26&gt;0,'City 5'!$P$26,(IF('City 5'!$T$30&gt;0,'City 5'!$P$30,(IF('City 5'!$D$18&gt;0,'City 5'!$B$18,(IF('City 5'!$T$24&gt;0,'City 5'!$P$24,(IF('City 5'!$AJ$12&gt;0,'City 5'!$AF$12," "))))))))))))</f>
        <v xml:space="preserve"> </v>
      </c>
      <c r="G70" s="405"/>
      <c r="H70" s="410"/>
      <c r="I70" s="18"/>
      <c r="J70" s="19"/>
      <c r="K70" s="92" t="s">
        <v>152</v>
      </c>
      <c r="M70" s="46" t="str">
        <f>IF('City 6'!$T$42&lt;&gt;0,'City 6'!$T$42," ")</f>
        <v xml:space="preserve"> </v>
      </c>
      <c r="O70" s="409" t="str">
        <f>(IF('City 6'!$AJ$36&gt;0,'City 6'!$AF$36,(IF('City 6'!$T$26&gt;0,'City 6'!$P$26,(IF('City 6'!$T$30&gt;0,'City 6'!$P$30,(IF('City 6'!$D$18&gt;0,'City 6'!$B$18,(IF('City 6'!$T$24&gt;0,'City 6'!$P$24,(IF('City 6'!$AJ$12&gt;0,'City 6'!$AF$12," "))))))))))))</f>
        <v xml:space="preserve"> </v>
      </c>
      <c r="P70" s="405"/>
      <c r="Q70" s="410"/>
      <c r="R70" s="18"/>
    </row>
    <row r="71" spans="1:18" ht="3" customHeight="1" thickBot="1" x14ac:dyDescent="0.3">
      <c r="A71" s="19"/>
      <c r="B71" s="5"/>
      <c r="D71" s="5"/>
      <c r="F71" s="409"/>
      <c r="G71" s="405"/>
      <c r="H71" s="410"/>
      <c r="I71" s="18"/>
      <c r="J71" s="19"/>
      <c r="K71" s="5"/>
      <c r="M71" s="5"/>
      <c r="O71" s="409"/>
      <c r="P71" s="405"/>
      <c r="Q71" s="410"/>
      <c r="R71" s="18"/>
    </row>
    <row r="72" spans="1:18" ht="15.75" thickBot="1" x14ac:dyDescent="0.3">
      <c r="A72" s="19"/>
      <c r="B72" s="92" t="s">
        <v>98</v>
      </c>
      <c r="D72" s="46" t="str">
        <f>IF('City 5'!$AJ$42&lt;&gt;0,'City 5'!$AJ$42," ")</f>
        <v xml:space="preserve"> </v>
      </c>
      <c r="F72" s="414" t="str">
        <f>(IF('City 5'!$T$12&gt;0,'City 5'!$P$12,(IF('City 5'!$D$20&gt;0,'City 5'!$B$34,(IF('City 5'!$AJ$32&gt;0,'City 5'!$AF$32,(IF('City 5'!$AJ$18&gt;0,'City 5'!$AF$18,(IF('City 5'!$T$14&gt;0,'City 5'!$P$14,(IF('City 5'!$T$32&gt;0,'City 5'!$P$32,(IF('City 5'!$AJ$16&gt;0,'City 5'!$AF$16,(IF('City 5'!$D$20&gt;0,'City 5'!$B$20," "))))))))))))))))</f>
        <v xml:space="preserve"> </v>
      </c>
      <c r="G72" s="415"/>
      <c r="H72" s="416"/>
      <c r="I72" s="18"/>
      <c r="J72" s="19"/>
      <c r="K72" s="92" t="s">
        <v>98</v>
      </c>
      <c r="M72" s="46" t="str">
        <f>IF('City 6'!$AJ$42&lt;&gt;0,'City 6'!$AJ$42," ")</f>
        <v xml:space="preserve"> </v>
      </c>
      <c r="O72" s="414" t="str">
        <f>(IF('City 6'!$T$12&gt;0,'City 6'!$P$12,(IF('City 6'!$D$20&gt;0,'City 6'!$B$34,(IF('City 6'!$AJ$32&gt;0,'City 6'!$AF$32,(IF('City 6'!$AJ$18&gt;0,'City 6'!$AF$18,(IF('City 6'!$T$14&gt;0,'City 6'!$P$14,(IF('City 6'!$T$32&gt;0,'City 6'!$P$32,(IF('City 6'!$AJ$16&gt;0,'City 6'!$AF$16,(IF('City 6'!$D$20&gt;0,'City 6'!$B$20," "))))))))))))))))</f>
        <v xml:space="preserve"> </v>
      </c>
      <c r="P72" s="415"/>
      <c r="Q72" s="416"/>
      <c r="R72" s="18"/>
    </row>
    <row r="73" spans="1:18" ht="3" customHeight="1" x14ac:dyDescent="0.25">
      <c r="A73" s="19"/>
      <c r="B73" s="5"/>
      <c r="D73" s="5"/>
      <c r="F73" s="5"/>
      <c r="H73" s="5"/>
      <c r="I73" s="18"/>
      <c r="J73" s="19"/>
      <c r="K73" s="5"/>
      <c r="M73" s="5"/>
      <c r="O73" s="5"/>
      <c r="Q73" s="5"/>
      <c r="R73" s="18"/>
    </row>
    <row r="74" spans="1:18" x14ac:dyDescent="0.25">
      <c r="A74" s="19"/>
      <c r="B74" s="359" t="s">
        <v>104</v>
      </c>
      <c r="C74" s="417"/>
      <c r="D74" s="417"/>
      <c r="E74" s="405"/>
      <c r="F74" s="405"/>
      <c r="G74" s="405"/>
      <c r="H74" s="405"/>
      <c r="I74" s="18"/>
      <c r="J74" s="19"/>
      <c r="K74" s="359" t="s">
        <v>104</v>
      </c>
      <c r="L74" s="417"/>
      <c r="M74" s="417"/>
      <c r="N74" s="405"/>
      <c r="O74" s="405"/>
      <c r="P74" s="405"/>
      <c r="Q74" s="405"/>
      <c r="R74" s="18"/>
    </row>
    <row r="75" spans="1:18" ht="3" customHeight="1" thickBot="1" x14ac:dyDescent="0.3">
      <c r="A75" s="19"/>
      <c r="B75" s="5"/>
      <c r="D75" s="5"/>
      <c r="F75" s="5"/>
      <c r="H75" s="5"/>
      <c r="I75" s="18"/>
      <c r="J75" s="19"/>
      <c r="K75" s="5"/>
      <c r="M75" s="5"/>
      <c r="O75" s="5"/>
      <c r="Q75" s="5"/>
      <c r="R75" s="18"/>
    </row>
    <row r="76" spans="1:18" x14ac:dyDescent="0.25">
      <c r="A76" s="19"/>
      <c r="B76" s="418" t="str">
        <f>IF('City 5'!$B$58&lt;&gt;0,'City 5'!$B$58," ")</f>
        <v xml:space="preserve"> </v>
      </c>
      <c r="C76" s="419"/>
      <c r="D76" s="419"/>
      <c r="E76" s="419"/>
      <c r="F76" s="419"/>
      <c r="G76" s="419"/>
      <c r="H76" s="420"/>
      <c r="I76" s="18"/>
      <c r="J76" s="19"/>
      <c r="K76" s="418" t="str">
        <f>IF('City 6'!$B$58&lt;&gt;0,'City 6'!$B$58," ")</f>
        <v xml:space="preserve"> </v>
      </c>
      <c r="L76" s="419"/>
      <c r="M76" s="419"/>
      <c r="N76" s="419"/>
      <c r="O76" s="419"/>
      <c r="P76" s="419"/>
      <c r="Q76" s="420"/>
      <c r="R76" s="18"/>
    </row>
    <row r="77" spans="1:18" ht="3" customHeight="1" x14ac:dyDescent="0.25">
      <c r="A77" s="19"/>
      <c r="B77" s="421"/>
      <c r="C77" s="422"/>
      <c r="D77" s="422"/>
      <c r="E77" s="422"/>
      <c r="F77" s="422"/>
      <c r="G77" s="422"/>
      <c r="H77" s="423"/>
      <c r="I77" s="18"/>
      <c r="J77" s="19"/>
      <c r="K77" s="421"/>
      <c r="L77" s="422"/>
      <c r="M77" s="422"/>
      <c r="N77" s="422"/>
      <c r="O77" s="422"/>
      <c r="P77" s="422"/>
      <c r="Q77" s="423"/>
      <c r="R77" s="18"/>
    </row>
    <row r="78" spans="1:18" x14ac:dyDescent="0.25">
      <c r="A78" s="19"/>
      <c r="B78" s="421"/>
      <c r="C78" s="422"/>
      <c r="D78" s="422"/>
      <c r="E78" s="422"/>
      <c r="F78" s="422"/>
      <c r="G78" s="422"/>
      <c r="H78" s="423"/>
      <c r="I78" s="18"/>
      <c r="J78" s="19"/>
      <c r="K78" s="421"/>
      <c r="L78" s="422"/>
      <c r="M78" s="422"/>
      <c r="N78" s="422"/>
      <c r="O78" s="422"/>
      <c r="P78" s="422"/>
      <c r="Q78" s="423"/>
      <c r="R78" s="18"/>
    </row>
    <row r="79" spans="1:18" x14ac:dyDescent="0.25">
      <c r="A79" s="19"/>
      <c r="B79" s="421"/>
      <c r="C79" s="422"/>
      <c r="D79" s="422"/>
      <c r="E79" s="422"/>
      <c r="F79" s="422"/>
      <c r="G79" s="422"/>
      <c r="H79" s="423"/>
      <c r="I79" s="18"/>
      <c r="J79" s="19"/>
      <c r="K79" s="421"/>
      <c r="L79" s="422"/>
      <c r="M79" s="422"/>
      <c r="N79" s="422"/>
      <c r="O79" s="422"/>
      <c r="P79" s="422"/>
      <c r="Q79" s="423"/>
      <c r="R79" s="18"/>
    </row>
    <row r="80" spans="1:18" ht="15.75" thickBot="1" x14ac:dyDescent="0.3">
      <c r="A80" s="19"/>
      <c r="B80" s="424"/>
      <c r="C80" s="425"/>
      <c r="D80" s="425"/>
      <c r="E80" s="425"/>
      <c r="F80" s="425"/>
      <c r="G80" s="425"/>
      <c r="H80" s="426"/>
      <c r="I80" s="18"/>
      <c r="J80" s="19"/>
      <c r="K80" s="424"/>
      <c r="L80" s="425"/>
      <c r="M80" s="425"/>
      <c r="N80" s="425"/>
      <c r="O80" s="425"/>
      <c r="P80" s="425"/>
      <c r="Q80" s="426"/>
      <c r="R80" s="18"/>
    </row>
    <row r="81" spans="1:18" ht="5.0999999999999996" customHeight="1" thickBot="1" x14ac:dyDescent="0.3">
      <c r="A81" s="34"/>
      <c r="B81" s="4"/>
      <c r="C81" s="28"/>
      <c r="D81" s="4"/>
      <c r="E81" s="4"/>
      <c r="F81" s="4"/>
      <c r="G81" s="28"/>
      <c r="H81" s="4"/>
      <c r="I81" s="29"/>
      <c r="J81" s="34"/>
      <c r="K81" s="4"/>
      <c r="L81" s="28"/>
      <c r="M81" s="4"/>
      <c r="N81" s="4"/>
      <c r="O81" s="4"/>
      <c r="P81" s="28"/>
      <c r="Q81" s="4"/>
      <c r="R81" s="29"/>
    </row>
    <row r="82" spans="1:18" ht="5.0999999999999996" customHeight="1" thickBot="1" x14ac:dyDescent="0.3">
      <c r="A82" s="12"/>
      <c r="B82" s="14"/>
      <c r="C82" s="13"/>
      <c r="D82" s="14"/>
      <c r="E82" s="14"/>
      <c r="F82" s="14"/>
      <c r="G82" s="13"/>
      <c r="H82" s="14"/>
      <c r="I82" s="15"/>
      <c r="J82" s="12"/>
      <c r="K82" s="14"/>
      <c r="L82" s="13"/>
      <c r="M82" s="14"/>
      <c r="N82" s="14"/>
      <c r="O82" s="14"/>
      <c r="P82" s="13"/>
      <c r="Q82" s="14"/>
      <c r="R82" s="15"/>
    </row>
    <row r="83" spans="1:18" ht="15.75" thickBot="1" x14ac:dyDescent="0.3">
      <c r="A83" s="19"/>
      <c r="B83" s="69" t="s">
        <v>83</v>
      </c>
      <c r="C83" s="61"/>
      <c r="D83" s="411" t="str">
        <f>IF('City 7'!$D$2&lt;&gt;0,'City 7'!$D$2," ")</f>
        <v xml:space="preserve"> </v>
      </c>
      <c r="E83" s="412"/>
      <c r="F83" s="412"/>
      <c r="G83" s="412"/>
      <c r="H83" s="413"/>
      <c r="I83" s="18"/>
      <c r="J83" s="19"/>
      <c r="K83" s="69" t="s">
        <v>83</v>
      </c>
      <c r="L83" s="61"/>
      <c r="M83" s="411" t="str">
        <f>IF('City 8'!$D$2&lt;&gt;0,'City 8'!$D$2," ")</f>
        <v xml:space="preserve"> </v>
      </c>
      <c r="N83" s="412"/>
      <c r="O83" s="412"/>
      <c r="P83" s="412"/>
      <c r="Q83" s="413"/>
      <c r="R83" s="18"/>
    </row>
    <row r="84" spans="1:18" s="1" customFormat="1" ht="3" customHeight="1" thickBot="1" x14ac:dyDescent="0.3">
      <c r="A84" s="33"/>
      <c r="B84" s="61"/>
      <c r="C84" s="61"/>
      <c r="D84" s="45"/>
      <c r="E84" s="11"/>
      <c r="F84" s="61"/>
      <c r="G84" s="61"/>
      <c r="H84" s="11"/>
      <c r="I84" s="22"/>
      <c r="J84" s="33"/>
      <c r="K84" s="61"/>
      <c r="L84" s="61"/>
      <c r="M84" s="45"/>
      <c r="N84" s="11"/>
      <c r="O84" s="61"/>
      <c r="P84" s="61"/>
      <c r="Q84" s="11"/>
      <c r="R84" s="22"/>
    </row>
    <row r="85" spans="1:18" ht="15.75" thickBot="1" x14ac:dyDescent="0.3">
      <c r="A85" s="19"/>
      <c r="B85" s="92" t="s">
        <v>49</v>
      </c>
      <c r="C85" s="62"/>
      <c r="D85" s="46" t="str">
        <f>IF('City 7'!$D$4&lt;&gt;0,'City 7'!$D$4," ")</f>
        <v xml:space="preserve"> </v>
      </c>
      <c r="E85" s="81"/>
      <c r="F85" s="92" t="s">
        <v>43</v>
      </c>
      <c r="G85" s="62"/>
      <c r="H85" s="46" t="str">
        <f>IF('City 7'!$T$6&lt;&gt;0,'City 7'!$T$6," ")</f>
        <v xml:space="preserve"> </v>
      </c>
      <c r="I85" s="18"/>
      <c r="J85" s="19"/>
      <c r="K85" s="92" t="s">
        <v>49</v>
      </c>
      <c r="L85" s="62"/>
      <c r="M85" s="46" t="str">
        <f>IF('City 8'!$D$4&lt;&gt;0,'City 8'!$D$4," ")</f>
        <v xml:space="preserve"> </v>
      </c>
      <c r="N85" s="81"/>
      <c r="O85" s="92" t="s">
        <v>43</v>
      </c>
      <c r="P85" s="62"/>
      <c r="Q85" s="46" t="str">
        <f>IF('City 8'!$T$6&lt;&gt;0,'City 8'!$T$6," ")</f>
        <v xml:space="preserve"> </v>
      </c>
      <c r="R85" s="18"/>
    </row>
    <row r="86" spans="1:18" s="1" customFormat="1" ht="3" customHeight="1" thickBot="1" x14ac:dyDescent="0.3">
      <c r="A86" s="33"/>
      <c r="B86" s="61"/>
      <c r="C86" s="61"/>
      <c r="D86" s="21"/>
      <c r="E86" s="21"/>
      <c r="F86" s="11"/>
      <c r="G86" s="11"/>
      <c r="H86" s="11"/>
      <c r="I86" s="22"/>
      <c r="J86" s="33"/>
      <c r="K86" s="61"/>
      <c r="L86" s="61"/>
      <c r="M86" s="21"/>
      <c r="N86" s="21"/>
      <c r="O86" s="11"/>
      <c r="P86" s="11"/>
      <c r="Q86" s="11"/>
      <c r="R86" s="22"/>
    </row>
    <row r="87" spans="1:18" ht="15.75" thickBot="1" x14ac:dyDescent="0.3">
      <c r="A87" s="19"/>
      <c r="B87" s="92" t="s">
        <v>50</v>
      </c>
      <c r="C87" s="62"/>
      <c r="D87" s="46" t="str">
        <f>IF('City 7'!$D$6&lt;&gt;0,'City 7'!$D$6," ")</f>
        <v xml:space="preserve"> </v>
      </c>
      <c r="E87" s="81"/>
      <c r="F87" s="92" t="s">
        <v>95</v>
      </c>
      <c r="G87" s="62"/>
      <c r="H87" s="46">
        <f>IF('City 7'!$AJ$4&lt;&gt;0,'City 7'!$AJ$4,0)</f>
        <v>0</v>
      </c>
      <c r="I87" s="18"/>
      <c r="J87" s="19"/>
      <c r="K87" s="92" t="s">
        <v>50</v>
      </c>
      <c r="L87" s="62"/>
      <c r="M87" s="46" t="str">
        <f>IF('City 8'!$D$6&lt;&gt;0,'City 8'!$D$6," ")</f>
        <v xml:space="preserve"> </v>
      </c>
      <c r="N87" s="81"/>
      <c r="O87" s="92" t="s">
        <v>95</v>
      </c>
      <c r="P87" s="62"/>
      <c r="Q87" s="46">
        <f>IF('City 8'!$AJ$4&lt;&gt;0,'City 8'!$AJ$4,0)</f>
        <v>0</v>
      </c>
      <c r="R87" s="18"/>
    </row>
    <row r="88" spans="1:18" s="1" customFormat="1" ht="3" customHeight="1" thickBot="1" x14ac:dyDescent="0.3">
      <c r="A88" s="33"/>
      <c r="B88" s="61"/>
      <c r="C88" s="61"/>
      <c r="D88" s="21"/>
      <c r="E88" s="21"/>
      <c r="F88" s="11"/>
      <c r="G88" s="11"/>
      <c r="H88" s="11"/>
      <c r="I88" s="22"/>
      <c r="J88" s="33"/>
      <c r="K88" s="61"/>
      <c r="L88" s="61"/>
      <c r="M88" s="21"/>
      <c r="N88" s="21"/>
      <c r="O88" s="11"/>
      <c r="P88" s="11"/>
      <c r="Q88" s="11"/>
      <c r="R88" s="22"/>
    </row>
    <row r="89" spans="1:18" ht="15.75" thickBot="1" x14ac:dyDescent="0.3">
      <c r="A89" s="19"/>
      <c r="B89" s="92" t="s">
        <v>51</v>
      </c>
      <c r="C89" s="62"/>
      <c r="D89" s="46" t="str">
        <f>IF('City 7'!$T$4&lt;&gt;0,'City 7'!$T$4," ")</f>
        <v xml:space="preserve"> </v>
      </c>
      <c r="E89" s="81"/>
      <c r="F89" s="359" t="s">
        <v>148</v>
      </c>
      <c r="G89" s="417"/>
      <c r="H89" s="417"/>
      <c r="I89" s="18"/>
      <c r="J89" s="19"/>
      <c r="K89" s="92" t="s">
        <v>51</v>
      </c>
      <c r="L89" s="62"/>
      <c r="M89" s="46" t="str">
        <f>IF('City 8'!$T$4&lt;&gt;0,'City 8'!$T$4," ")</f>
        <v xml:space="preserve"> </v>
      </c>
      <c r="N89" s="81"/>
      <c r="O89" s="359" t="s">
        <v>148</v>
      </c>
      <c r="P89" s="417"/>
      <c r="Q89" s="417"/>
      <c r="R89" s="18"/>
    </row>
    <row r="90" spans="1:18" s="1" customFormat="1" ht="3" customHeight="1" thickBot="1" x14ac:dyDescent="0.3">
      <c r="A90" s="33"/>
      <c r="B90" s="62"/>
      <c r="C90" s="62"/>
      <c r="D90" s="21"/>
      <c r="E90" s="21"/>
      <c r="F90" s="5"/>
      <c r="G90" s="11"/>
      <c r="H90" s="5"/>
      <c r="I90" s="22"/>
      <c r="J90" s="33"/>
      <c r="K90" s="62"/>
      <c r="L90" s="62"/>
      <c r="M90" s="21"/>
      <c r="N90" s="21"/>
      <c r="O90" s="5"/>
      <c r="P90" s="11"/>
      <c r="Q90" s="5"/>
      <c r="R90" s="22"/>
    </row>
    <row r="91" spans="1:18" x14ac:dyDescent="0.25">
      <c r="A91" s="19"/>
      <c r="B91" s="359" t="s">
        <v>149</v>
      </c>
      <c r="C91" s="417"/>
      <c r="D91" s="417"/>
      <c r="E91" s="81"/>
      <c r="F91" s="427" t="str">
        <f>IF('City 7'!$D$26&gt;0, 'City 7'!$B$26, (IF('City 7'!$D$36&gt;0, 'City 7'!$B$36, (IF('City 7'!$D$16&gt;0, 'City 7'!$B$36, (IF('City 7'!$AJ$34&gt;0, 'City 7'!$AF$34," ")))))))</f>
        <v xml:space="preserve"> </v>
      </c>
      <c r="G91" s="428"/>
      <c r="H91" s="429"/>
      <c r="I91" s="18"/>
      <c r="J91" s="19"/>
      <c r="K91" s="359" t="s">
        <v>149</v>
      </c>
      <c r="L91" s="417"/>
      <c r="M91" s="417"/>
      <c r="N91" s="81"/>
      <c r="O91" s="427" t="str">
        <f>IF('City 8'!$D$26&gt;0, 'City 8'!$B$26, (IF('City 8'!$D$36&gt;0, 'City 8'!$B$36, (IF('City 8'!$D$16&gt;0, 'City 8'!$B$36, (IF('City 8'!$AJ$34&gt;0, 'City 8'!$AF$34," ")))))))</f>
        <v xml:space="preserve"> </v>
      </c>
      <c r="P91" s="428"/>
      <c r="Q91" s="429"/>
      <c r="R91" s="18"/>
    </row>
    <row r="92" spans="1:18" s="1" customFormat="1" ht="3" customHeight="1" thickBot="1" x14ac:dyDescent="0.3">
      <c r="A92" s="33"/>
      <c r="B92" s="5"/>
      <c r="C92" s="11"/>
      <c r="D92" s="5"/>
      <c r="E92" s="21"/>
      <c r="F92" s="409"/>
      <c r="G92" s="405"/>
      <c r="H92" s="410"/>
      <c r="I92" s="22"/>
      <c r="J92" s="33"/>
      <c r="K92" s="5"/>
      <c r="L92" s="11"/>
      <c r="M92" s="5"/>
      <c r="N92" s="21"/>
      <c r="O92" s="409"/>
      <c r="P92" s="405"/>
      <c r="Q92" s="410"/>
      <c r="R92" s="22"/>
    </row>
    <row r="93" spans="1:18" ht="15.75" thickBot="1" x14ac:dyDescent="0.3">
      <c r="A93" s="19"/>
      <c r="B93" s="92" t="s">
        <v>96</v>
      </c>
      <c r="C93" s="62"/>
      <c r="D93" s="46" t="str">
        <f>IF('City 7'!$AJ$2&lt;&gt;0,'City 7'!$AJ$2," ")</f>
        <v xml:space="preserve"> </v>
      </c>
      <c r="E93" s="81"/>
      <c r="F93" s="409" t="str">
        <f>(IF('City 7'!$D$28&gt;0, 'City 7'!$B$28, (IF('City 7'!$AJ$24&gt;0, 'City 7'!$AF$24, (IF('City 7'!$AJ$14&gt;0, 'City 7'!$AF$14," "))))))</f>
        <v xml:space="preserve"> </v>
      </c>
      <c r="G93" s="405"/>
      <c r="H93" s="410"/>
      <c r="I93" s="18"/>
      <c r="J93" s="19"/>
      <c r="K93" s="92" t="s">
        <v>96</v>
      </c>
      <c r="L93" s="62"/>
      <c r="M93" s="46" t="str">
        <f>IF('City 8'!$AJ$2&lt;&gt;0,'City 8'!$AJ$2," ")</f>
        <v xml:space="preserve"> </v>
      </c>
      <c r="N93" s="81"/>
      <c r="O93" s="409" t="str">
        <f>(IF('City 8'!$D$28&gt;0, 'City 8'!$B$28, (IF('City 8'!$AJ$24&gt;0, 'City 8'!$AF$24, (IF('City 8'!$AJ$14&gt;0, 'City 8'!$AF$14," "))))))</f>
        <v xml:space="preserve"> </v>
      </c>
      <c r="P93" s="405"/>
      <c r="Q93" s="410"/>
      <c r="R93" s="18"/>
    </row>
    <row r="94" spans="1:18" s="1" customFormat="1" ht="3" customHeight="1" thickBot="1" x14ac:dyDescent="0.3">
      <c r="A94" s="33"/>
      <c r="B94" s="5"/>
      <c r="C94" s="11"/>
      <c r="D94" s="5"/>
      <c r="E94" s="45"/>
      <c r="F94" s="409"/>
      <c r="G94" s="405"/>
      <c r="H94" s="410"/>
      <c r="I94" s="22"/>
      <c r="J94" s="33"/>
      <c r="K94" s="5"/>
      <c r="L94" s="11"/>
      <c r="M94" s="5"/>
      <c r="N94" s="45"/>
      <c r="O94" s="409"/>
      <c r="P94" s="405"/>
      <c r="Q94" s="410"/>
      <c r="R94" s="22"/>
    </row>
    <row r="95" spans="1:18" ht="15.75" thickBot="1" x14ac:dyDescent="0.3">
      <c r="A95" s="19"/>
      <c r="B95" s="92" t="s">
        <v>97</v>
      </c>
      <c r="D95" s="46" t="str">
        <f>IF('City 7'!$D$42&lt;&gt;0,'City 7'!$D$42," ")</f>
        <v xml:space="preserve"> </v>
      </c>
      <c r="F95" s="409" t="str">
        <f>(IF('City 7'!$D$14&gt;0, 'City 7'!$B$14, (IF('City 7'!$AJ$28&gt;0, 'City 7'!$AF$28, (IF('City 7'!$AJ$22&gt;0, 'City 7'!$AF$22, (IF('City 7'!$T$18&gt;0, 'City 7'!$P$18, (IF('City 7'!$D$22&gt;0, 'City 7'!$B$22, (IF('City 7'!$T$38&gt;0, 'City 7'!$P$38," "))))))))))))</f>
        <v xml:space="preserve"> </v>
      </c>
      <c r="G95" s="405"/>
      <c r="H95" s="410"/>
      <c r="I95" s="18"/>
      <c r="J95" s="19"/>
      <c r="K95" s="92" t="s">
        <v>97</v>
      </c>
      <c r="M95" s="46" t="str">
        <f>IF('City 8'!$D$42&lt;&gt;0,'City 8'!$D$42," ")</f>
        <v xml:space="preserve"> </v>
      </c>
      <c r="O95" s="409" t="str">
        <f>(IF('City 8'!$D$14&gt;0, 'City 8'!$B$14, (IF('City 8'!$AJ$28&gt;0, 'City 8'!$AF$28, (IF('City 8'!$AJ$22&gt;0, 'City 8'!$AF$22, (IF('City 8'!$T$18&gt;0, 'City 8'!$P$18, (IF('City 8'!$D$22&gt;0, 'City 8'!$B$22, (IF('City 8'!$T$38&gt;0, 'City 8'!$P$38," "))))))))))))</f>
        <v xml:space="preserve"> </v>
      </c>
      <c r="P95" s="405"/>
      <c r="Q95" s="410"/>
      <c r="R95" s="18"/>
    </row>
    <row r="96" spans="1:18" ht="3" customHeight="1" thickBot="1" x14ac:dyDescent="0.3">
      <c r="A96" s="19"/>
      <c r="B96" s="5"/>
      <c r="D96" s="5"/>
      <c r="F96" s="409"/>
      <c r="G96" s="405"/>
      <c r="H96" s="410"/>
      <c r="I96" s="18"/>
      <c r="J96" s="19"/>
      <c r="K96" s="5"/>
      <c r="M96" s="5"/>
      <c r="O96" s="409"/>
      <c r="P96" s="405"/>
      <c r="Q96" s="410"/>
      <c r="R96" s="18"/>
    </row>
    <row r="97" spans="1:18" ht="15.75" thickBot="1" x14ac:dyDescent="0.3">
      <c r="A97" s="19"/>
      <c r="B97" s="92" t="s">
        <v>152</v>
      </c>
      <c r="D97" s="46" t="str">
        <f>IF('City 7'!$T$42&lt;&gt;0,'City 7'!$T$42," ")</f>
        <v xml:space="preserve"> </v>
      </c>
      <c r="F97" s="409" t="str">
        <f>(IF('City 7'!$AJ$36&gt;0,'City 7'!$AF$36,(IF('City 7'!$T$26&gt;0,'City 7'!$P$26,(IF('City 7'!$T$30&gt;0,'City 7'!$P$30,(IF('City 7'!$D$18&gt;0,'City 7'!$B$18,(IF('City 7'!$T$24&gt;0,'City 7'!$P$24,(IF('City 7'!$AJ$12&gt;0,'City 7'!$AF$12," "))))))))))))</f>
        <v xml:space="preserve"> </v>
      </c>
      <c r="G97" s="405"/>
      <c r="H97" s="410"/>
      <c r="I97" s="18"/>
      <c r="J97" s="19"/>
      <c r="K97" s="92" t="s">
        <v>152</v>
      </c>
      <c r="M97" s="46" t="str">
        <f>IF('City 8'!$T$42&lt;&gt;0,'City 8'!$T$42," ")</f>
        <v xml:space="preserve"> </v>
      </c>
      <c r="O97" s="409" t="str">
        <f>(IF('City 8'!$AJ$36&gt;0,'City 8'!$AF$36,(IF('City 8'!$T$26&gt;0,'City 8'!$P$26,(IF('City 8'!$T$30&gt;0,'City 8'!$P$30,(IF('City 8'!$D$18&gt;0,'City 8'!$B$18,(IF('City 8'!$T$24&gt;0,'City 8'!$P$24,(IF('City 8'!$AJ$12&gt;0,'City 8'!$AF$12," "))))))))))))</f>
        <v xml:space="preserve"> </v>
      </c>
      <c r="P97" s="405"/>
      <c r="Q97" s="410"/>
      <c r="R97" s="18"/>
    </row>
    <row r="98" spans="1:18" ht="3" customHeight="1" thickBot="1" x14ac:dyDescent="0.3">
      <c r="A98" s="19"/>
      <c r="B98" s="5"/>
      <c r="D98" s="5"/>
      <c r="F98" s="409"/>
      <c r="G98" s="405"/>
      <c r="H98" s="410"/>
      <c r="I98" s="18"/>
      <c r="J98" s="19"/>
      <c r="K98" s="5"/>
      <c r="M98" s="5"/>
      <c r="O98" s="409"/>
      <c r="P98" s="405"/>
      <c r="Q98" s="410"/>
      <c r="R98" s="18"/>
    </row>
    <row r="99" spans="1:18" ht="15.75" thickBot="1" x14ac:dyDescent="0.3">
      <c r="A99" s="19"/>
      <c r="B99" s="92" t="s">
        <v>98</v>
      </c>
      <c r="D99" s="46" t="str">
        <f>IF('City 7'!$AJ$42&lt;&gt;0,'City 7'!$AJ$42," ")</f>
        <v xml:space="preserve"> </v>
      </c>
      <c r="F99" s="414" t="str">
        <f>(IF('City 7'!$T$12&gt;0,'City 7'!$P$12,(IF('City 7'!$D$20&gt;0,'City 7'!$B$34,(IF('City 7'!$AJ$32&gt;0,'City 7'!$AF$32,(IF('City 7'!$AJ$18&gt;0,'City 7'!$AF$18,(IF('City 7'!$T$14&gt;0,'City 7'!$P$14,(IF('City 7'!$T$32&gt;0,'City 7'!$P$32,(IF('City 7'!$AJ$16&gt;0,'City 7'!$AF$16,(IF('City 7'!$D$20&gt;0,'City 7'!$B$20," "))))))))))))))))</f>
        <v xml:space="preserve"> </v>
      </c>
      <c r="G99" s="415"/>
      <c r="H99" s="416"/>
      <c r="I99" s="18"/>
      <c r="J99" s="19"/>
      <c r="K99" s="92" t="s">
        <v>98</v>
      </c>
      <c r="M99" s="46" t="str">
        <f>IF('City 8'!$AJ$42&lt;&gt;0,'City 8'!$AJ$42," ")</f>
        <v xml:space="preserve"> </v>
      </c>
      <c r="O99" s="414" t="str">
        <f>(IF('City 8'!$T$12&gt;0,'City 8'!$P$12,(IF('City 8'!$D$20&gt;0,'City 8'!$B$34,(IF('City 8'!$AJ$32&gt;0,'City 8'!$AF$32,(IF('City 8'!$AJ$18&gt;0,'City 8'!$AF$18,(IF('City 8'!$T$14&gt;0,'City 8'!$P$14,(IF('City 8'!$T$32&gt;0,'City 8'!$P$32,(IF('City 8'!$AJ$16&gt;0,'City 8'!$AF$16,(IF('City 8'!$D$20&gt;0,'City 8'!$B$20," "))))))))))))))))</f>
        <v xml:space="preserve"> </v>
      </c>
      <c r="P99" s="415"/>
      <c r="Q99" s="416"/>
      <c r="R99" s="18"/>
    </row>
    <row r="100" spans="1:18" ht="3" customHeight="1" x14ac:dyDescent="0.25">
      <c r="A100" s="19"/>
      <c r="B100" s="5"/>
      <c r="D100" s="5"/>
      <c r="F100" s="5"/>
      <c r="H100" s="5"/>
      <c r="I100" s="18"/>
      <c r="J100" s="19"/>
      <c r="K100" s="5"/>
      <c r="M100" s="5"/>
      <c r="O100" s="5"/>
      <c r="Q100" s="5"/>
      <c r="R100" s="18"/>
    </row>
    <row r="101" spans="1:18" x14ac:dyDescent="0.25">
      <c r="A101" s="19"/>
      <c r="B101" s="359" t="s">
        <v>104</v>
      </c>
      <c r="C101" s="417"/>
      <c r="D101" s="417"/>
      <c r="E101" s="405"/>
      <c r="F101" s="405"/>
      <c r="G101" s="405"/>
      <c r="H101" s="405"/>
      <c r="I101" s="18"/>
      <c r="J101" s="19"/>
      <c r="K101" s="359" t="s">
        <v>104</v>
      </c>
      <c r="L101" s="417"/>
      <c r="M101" s="417"/>
      <c r="N101" s="405"/>
      <c r="O101" s="405"/>
      <c r="P101" s="405"/>
      <c r="Q101" s="405"/>
      <c r="R101" s="18"/>
    </row>
    <row r="102" spans="1:18" ht="3" customHeight="1" thickBot="1" x14ac:dyDescent="0.3">
      <c r="A102" s="19"/>
      <c r="B102" s="5"/>
      <c r="D102" s="5"/>
      <c r="F102" s="5"/>
      <c r="H102" s="5"/>
      <c r="I102" s="18"/>
      <c r="J102" s="19"/>
      <c r="K102" s="5"/>
      <c r="M102" s="5"/>
      <c r="O102" s="5"/>
      <c r="Q102" s="5"/>
      <c r="R102" s="18"/>
    </row>
    <row r="103" spans="1:18" x14ac:dyDescent="0.25">
      <c r="A103" s="19"/>
      <c r="B103" s="418" t="str">
        <f>IF('City 7'!$B$58&lt;&gt;0,'City 7'!$B$58," ")</f>
        <v xml:space="preserve"> </v>
      </c>
      <c r="C103" s="419"/>
      <c r="D103" s="419"/>
      <c r="E103" s="419"/>
      <c r="F103" s="419"/>
      <c r="G103" s="419"/>
      <c r="H103" s="420"/>
      <c r="I103" s="18"/>
      <c r="J103" s="19"/>
      <c r="K103" s="418" t="str">
        <f>IF('City 8'!$B$58&lt;&gt;0,'City 8'!$B$58," ")</f>
        <v xml:space="preserve"> </v>
      </c>
      <c r="L103" s="419"/>
      <c r="M103" s="419"/>
      <c r="N103" s="419"/>
      <c r="O103" s="419"/>
      <c r="P103" s="419"/>
      <c r="Q103" s="420"/>
      <c r="R103" s="18"/>
    </row>
    <row r="104" spans="1:18" ht="3" customHeight="1" x14ac:dyDescent="0.25">
      <c r="A104" s="19"/>
      <c r="B104" s="421"/>
      <c r="C104" s="422"/>
      <c r="D104" s="422"/>
      <c r="E104" s="422"/>
      <c r="F104" s="422"/>
      <c r="G104" s="422"/>
      <c r="H104" s="423"/>
      <c r="I104" s="18"/>
      <c r="J104" s="19"/>
      <c r="K104" s="421"/>
      <c r="L104" s="422"/>
      <c r="M104" s="422"/>
      <c r="N104" s="422"/>
      <c r="O104" s="422"/>
      <c r="P104" s="422"/>
      <c r="Q104" s="423"/>
      <c r="R104" s="18"/>
    </row>
    <row r="105" spans="1:18" x14ac:dyDescent="0.25">
      <c r="A105" s="19"/>
      <c r="B105" s="421"/>
      <c r="C105" s="422"/>
      <c r="D105" s="422"/>
      <c r="E105" s="422"/>
      <c r="F105" s="422"/>
      <c r="G105" s="422"/>
      <c r="H105" s="423"/>
      <c r="I105" s="18"/>
      <c r="J105" s="19"/>
      <c r="K105" s="421"/>
      <c r="L105" s="422"/>
      <c r="M105" s="422"/>
      <c r="N105" s="422"/>
      <c r="O105" s="422"/>
      <c r="P105" s="422"/>
      <c r="Q105" s="423"/>
      <c r="R105" s="18"/>
    </row>
    <row r="106" spans="1:18" x14ac:dyDescent="0.25">
      <c r="A106" s="19"/>
      <c r="B106" s="421"/>
      <c r="C106" s="422"/>
      <c r="D106" s="422"/>
      <c r="E106" s="422"/>
      <c r="F106" s="422"/>
      <c r="G106" s="422"/>
      <c r="H106" s="423"/>
      <c r="I106" s="18"/>
      <c r="J106" s="19"/>
      <c r="K106" s="421"/>
      <c r="L106" s="422"/>
      <c r="M106" s="422"/>
      <c r="N106" s="422"/>
      <c r="O106" s="422"/>
      <c r="P106" s="422"/>
      <c r="Q106" s="423"/>
      <c r="R106" s="18"/>
    </row>
    <row r="107" spans="1:18" ht="15.75" thickBot="1" x14ac:dyDescent="0.3">
      <c r="A107" s="19"/>
      <c r="B107" s="424"/>
      <c r="C107" s="425"/>
      <c r="D107" s="425"/>
      <c r="E107" s="425"/>
      <c r="F107" s="425"/>
      <c r="G107" s="425"/>
      <c r="H107" s="426"/>
      <c r="I107" s="18"/>
      <c r="J107" s="19"/>
      <c r="K107" s="424"/>
      <c r="L107" s="425"/>
      <c r="M107" s="425"/>
      <c r="N107" s="425"/>
      <c r="O107" s="425"/>
      <c r="P107" s="425"/>
      <c r="Q107" s="426"/>
      <c r="R107" s="18"/>
    </row>
    <row r="108" spans="1:18" ht="5.0999999999999996" customHeight="1" thickBot="1" x14ac:dyDescent="0.3">
      <c r="A108" s="34"/>
      <c r="B108" s="4"/>
      <c r="C108" s="28"/>
      <c r="D108" s="4"/>
      <c r="E108" s="4"/>
      <c r="F108" s="4"/>
      <c r="G108" s="28"/>
      <c r="H108" s="4"/>
      <c r="I108" s="29"/>
      <c r="J108" s="34"/>
      <c r="K108" s="4"/>
      <c r="L108" s="28"/>
      <c r="M108" s="4"/>
      <c r="N108" s="4"/>
      <c r="O108" s="4"/>
      <c r="P108" s="28"/>
      <c r="Q108" s="4"/>
      <c r="R108" s="29"/>
    </row>
    <row r="109" spans="1:18" ht="5.0999999999999996" customHeight="1" thickBot="1" x14ac:dyDescent="0.3">
      <c r="A109" s="12"/>
      <c r="B109" s="14"/>
      <c r="C109" s="13"/>
      <c r="D109" s="14"/>
      <c r="E109" s="14"/>
      <c r="F109" s="14"/>
      <c r="G109" s="13"/>
      <c r="H109" s="14"/>
      <c r="I109" s="15"/>
      <c r="J109" s="12"/>
      <c r="K109" s="14"/>
      <c r="L109" s="13"/>
      <c r="M109" s="14"/>
      <c r="N109" s="14"/>
      <c r="O109" s="14"/>
      <c r="P109" s="13"/>
      <c r="Q109" s="14"/>
      <c r="R109" s="15"/>
    </row>
    <row r="110" spans="1:18" ht="15.75" thickBot="1" x14ac:dyDescent="0.3">
      <c r="A110" s="19"/>
      <c r="B110" s="69" t="s">
        <v>83</v>
      </c>
      <c r="C110" s="61"/>
      <c r="D110" s="411" t="str">
        <f>IF('City 9'!$D$2&lt;&gt;0,'City 9'!$D$2," ")</f>
        <v xml:space="preserve"> </v>
      </c>
      <c r="E110" s="412"/>
      <c r="F110" s="412"/>
      <c r="G110" s="412"/>
      <c r="H110" s="413"/>
      <c r="I110" s="18"/>
      <c r="J110" s="19"/>
      <c r="K110" s="69" t="s">
        <v>83</v>
      </c>
      <c r="L110" s="61"/>
      <c r="M110" s="411" t="str">
        <f>IF('City 10'!$D$2&lt;&gt;0,'City 10'!$D$2," ")</f>
        <v xml:space="preserve"> </v>
      </c>
      <c r="N110" s="412"/>
      <c r="O110" s="412"/>
      <c r="P110" s="412"/>
      <c r="Q110" s="413"/>
      <c r="R110" s="18"/>
    </row>
    <row r="111" spans="1:18" s="1" customFormat="1" ht="3" customHeight="1" thickBot="1" x14ac:dyDescent="0.3">
      <c r="A111" s="33"/>
      <c r="B111" s="61"/>
      <c r="C111" s="61"/>
      <c r="D111" s="45"/>
      <c r="E111" s="11"/>
      <c r="F111" s="61"/>
      <c r="G111" s="61"/>
      <c r="H111" s="11"/>
      <c r="I111" s="22"/>
      <c r="J111" s="33"/>
      <c r="K111" s="61"/>
      <c r="L111" s="61"/>
      <c r="M111" s="45"/>
      <c r="N111" s="11"/>
      <c r="O111" s="61"/>
      <c r="P111" s="61"/>
      <c r="Q111" s="11"/>
      <c r="R111" s="22"/>
    </row>
    <row r="112" spans="1:18" ht="15.75" thickBot="1" x14ac:dyDescent="0.3">
      <c r="A112" s="19"/>
      <c r="B112" s="92" t="s">
        <v>49</v>
      </c>
      <c r="C112" s="62"/>
      <c r="D112" s="46" t="str">
        <f>IF('City 9'!$D$4&lt;&gt;0,'City 9'!$D$4," ")</f>
        <v xml:space="preserve"> </v>
      </c>
      <c r="E112" s="81"/>
      <c r="F112" s="92" t="s">
        <v>43</v>
      </c>
      <c r="G112" s="62"/>
      <c r="H112" s="46" t="str">
        <f>IF('City 9'!$T$6&lt;&gt;0,'City 9'!$T$6," ")</f>
        <v xml:space="preserve"> </v>
      </c>
      <c r="I112" s="18"/>
      <c r="J112" s="19"/>
      <c r="K112" s="92" t="s">
        <v>49</v>
      </c>
      <c r="L112" s="62"/>
      <c r="M112" s="46" t="str">
        <f>IF('City 10'!$D$4&lt;&gt;0,'City 10'!$D$4," ")</f>
        <v xml:space="preserve"> </v>
      </c>
      <c r="N112" s="81"/>
      <c r="O112" s="92" t="s">
        <v>43</v>
      </c>
      <c r="P112" s="62"/>
      <c r="Q112" s="46" t="str">
        <f>IF('City 10'!$T$6&lt;&gt;0,'City 10'!$T$6," ")</f>
        <v xml:space="preserve"> </v>
      </c>
      <c r="R112" s="18"/>
    </row>
    <row r="113" spans="1:18" s="1" customFormat="1" ht="3" customHeight="1" thickBot="1" x14ac:dyDescent="0.3">
      <c r="A113" s="33"/>
      <c r="B113" s="61"/>
      <c r="C113" s="61"/>
      <c r="D113" s="21"/>
      <c r="E113" s="21"/>
      <c r="F113" s="11"/>
      <c r="G113" s="11"/>
      <c r="H113" s="11"/>
      <c r="I113" s="22"/>
      <c r="J113" s="33"/>
      <c r="K113" s="61"/>
      <c r="L113" s="61"/>
      <c r="M113" s="21"/>
      <c r="N113" s="21"/>
      <c r="O113" s="11"/>
      <c r="P113" s="11"/>
      <c r="Q113" s="11"/>
      <c r="R113" s="22"/>
    </row>
    <row r="114" spans="1:18" ht="15.75" thickBot="1" x14ac:dyDescent="0.3">
      <c r="A114" s="19"/>
      <c r="B114" s="92" t="s">
        <v>50</v>
      </c>
      <c r="C114" s="62"/>
      <c r="D114" s="46" t="str">
        <f>IF('City 9'!$D$6&lt;&gt;0,'City 9'!$D$6," ")</f>
        <v xml:space="preserve"> </v>
      </c>
      <c r="E114" s="81"/>
      <c r="F114" s="92" t="s">
        <v>95</v>
      </c>
      <c r="G114" s="62"/>
      <c r="H114" s="46">
        <f>IF('City 9'!$AJ$4&lt;&gt;0,'City 9'!$AJ$4,0)</f>
        <v>0</v>
      </c>
      <c r="I114" s="18"/>
      <c r="J114" s="19"/>
      <c r="K114" s="92" t="s">
        <v>50</v>
      </c>
      <c r="L114" s="62"/>
      <c r="M114" s="46" t="str">
        <f>IF('City 10'!$D$6&lt;&gt;0,'City 10'!$D$6," ")</f>
        <v xml:space="preserve"> </v>
      </c>
      <c r="N114" s="81"/>
      <c r="O114" s="92" t="s">
        <v>95</v>
      </c>
      <c r="P114" s="62"/>
      <c r="Q114" s="46">
        <f>IF('City 10'!$AJ$4&lt;&gt;0,'City 10'!$AJ$4,0)</f>
        <v>0</v>
      </c>
      <c r="R114" s="18"/>
    </row>
    <row r="115" spans="1:18" s="1" customFormat="1" ht="3" customHeight="1" thickBot="1" x14ac:dyDescent="0.3">
      <c r="A115" s="33"/>
      <c r="B115" s="61"/>
      <c r="C115" s="61"/>
      <c r="D115" s="21"/>
      <c r="E115" s="21"/>
      <c r="F115" s="11"/>
      <c r="G115" s="11"/>
      <c r="H115" s="11"/>
      <c r="I115" s="22"/>
      <c r="J115" s="33"/>
      <c r="K115" s="61"/>
      <c r="L115" s="61"/>
      <c r="M115" s="21"/>
      <c r="N115" s="21"/>
      <c r="O115" s="11"/>
      <c r="P115" s="11"/>
      <c r="Q115" s="11"/>
      <c r="R115" s="22"/>
    </row>
    <row r="116" spans="1:18" ht="15.75" thickBot="1" x14ac:dyDescent="0.3">
      <c r="A116" s="19"/>
      <c r="B116" s="92" t="s">
        <v>51</v>
      </c>
      <c r="C116" s="62"/>
      <c r="D116" s="46" t="str">
        <f>IF('City 9'!$T$4&lt;&gt;0,'City 9'!$T$4," ")</f>
        <v xml:space="preserve"> </v>
      </c>
      <c r="E116" s="81"/>
      <c r="F116" s="359" t="s">
        <v>148</v>
      </c>
      <c r="G116" s="417"/>
      <c r="H116" s="417"/>
      <c r="I116" s="18"/>
      <c r="J116" s="19"/>
      <c r="K116" s="92" t="s">
        <v>51</v>
      </c>
      <c r="L116" s="62"/>
      <c r="M116" s="46" t="str">
        <f>IF('City 10'!$T$4&lt;&gt;0,'City 10'!$T$4," ")</f>
        <v xml:space="preserve"> </v>
      </c>
      <c r="N116" s="81"/>
      <c r="O116" s="359" t="s">
        <v>148</v>
      </c>
      <c r="P116" s="417"/>
      <c r="Q116" s="417"/>
      <c r="R116" s="18"/>
    </row>
    <row r="117" spans="1:18" s="1" customFormat="1" ht="3" customHeight="1" thickBot="1" x14ac:dyDescent="0.3">
      <c r="A117" s="33"/>
      <c r="B117" s="62"/>
      <c r="C117" s="62"/>
      <c r="D117" s="21"/>
      <c r="E117" s="21"/>
      <c r="F117" s="5"/>
      <c r="G117" s="11"/>
      <c r="H117" s="5"/>
      <c r="I117" s="22"/>
      <c r="J117" s="33"/>
      <c r="K117" s="62"/>
      <c r="L117" s="62"/>
      <c r="M117" s="21"/>
      <c r="N117" s="21"/>
      <c r="O117" s="5"/>
      <c r="P117" s="11"/>
      <c r="Q117" s="5"/>
      <c r="R117" s="22"/>
    </row>
    <row r="118" spans="1:18" x14ac:dyDescent="0.25">
      <c r="A118" s="19"/>
      <c r="B118" s="359" t="s">
        <v>149</v>
      </c>
      <c r="C118" s="417"/>
      <c r="D118" s="417"/>
      <c r="E118" s="81"/>
      <c r="F118" s="427" t="str">
        <f>IF('City 9'!$D$26&gt;0, 'City 9'!$B$26, (IF('City 9'!$D$36&gt;0, 'City 9'!$B$36, (IF('City 9'!$D$16&gt;0, 'City 9'!$B$36, (IF('City 9'!$AJ$34&gt;0, 'City 9'!$AF$34," ")))))))</f>
        <v xml:space="preserve"> </v>
      </c>
      <c r="G118" s="428"/>
      <c r="H118" s="429"/>
      <c r="I118" s="18"/>
      <c r="J118" s="19"/>
      <c r="K118" s="359" t="s">
        <v>149</v>
      </c>
      <c r="L118" s="417"/>
      <c r="M118" s="417"/>
      <c r="N118" s="81"/>
      <c r="O118" s="427" t="str">
        <f>IF('City 10'!$D$26&gt;0, 'City 10'!$B$26, (IF('City 10'!$D$36&gt;0, 'City 10'!$B$36, (IF('City 10'!$D$16&gt;0, 'City 10'!$B$36, (IF('City 10'!$AJ$34&gt;0, 'City 10'!$AF$34," ")))))))</f>
        <v xml:space="preserve"> </v>
      </c>
      <c r="P118" s="428"/>
      <c r="Q118" s="429"/>
      <c r="R118" s="18"/>
    </row>
    <row r="119" spans="1:18" s="1" customFormat="1" ht="3" customHeight="1" thickBot="1" x14ac:dyDescent="0.3">
      <c r="A119" s="33"/>
      <c r="B119" s="5"/>
      <c r="C119" s="11"/>
      <c r="D119" s="5"/>
      <c r="E119" s="21"/>
      <c r="F119" s="409"/>
      <c r="G119" s="405"/>
      <c r="H119" s="410"/>
      <c r="I119" s="22"/>
      <c r="J119" s="33"/>
      <c r="K119" s="5"/>
      <c r="L119" s="11"/>
      <c r="M119" s="5"/>
      <c r="N119" s="21"/>
      <c r="O119" s="409"/>
      <c r="P119" s="405"/>
      <c r="Q119" s="410"/>
      <c r="R119" s="22"/>
    </row>
    <row r="120" spans="1:18" ht="15.75" thickBot="1" x14ac:dyDescent="0.3">
      <c r="A120" s="19"/>
      <c r="B120" s="92" t="s">
        <v>96</v>
      </c>
      <c r="C120" s="62"/>
      <c r="D120" s="46" t="str">
        <f>IF('City 9'!$AJ$2&lt;&gt;0,'City 9'!$AJ$2," ")</f>
        <v xml:space="preserve"> </v>
      </c>
      <c r="E120" s="81"/>
      <c r="F120" s="409" t="str">
        <f>(IF('City 9'!$D$28&gt;0, 'City 9'!$B$28, (IF('City 9'!$AJ$24&gt;0, 'City 9'!$AF$24, (IF('City 9'!$AJ$14&gt;0, 'City 9'!$AF$14," "))))))</f>
        <v xml:space="preserve"> </v>
      </c>
      <c r="G120" s="405"/>
      <c r="H120" s="410"/>
      <c r="I120" s="18"/>
      <c r="J120" s="19"/>
      <c r="K120" s="92" t="s">
        <v>96</v>
      </c>
      <c r="L120" s="62"/>
      <c r="M120" s="46" t="str">
        <f>IF('City 10'!$AJ$2&lt;&gt;0,'City 10'!$AJ$2," ")</f>
        <v xml:space="preserve"> </v>
      </c>
      <c r="N120" s="81"/>
      <c r="O120" s="409" t="str">
        <f>(IF('City 10'!$D$28&gt;0, 'City 10'!$B$28, (IF('City 10'!$AJ$24&gt;0, 'City 10'!$AF$24, (IF('City 10'!$AJ$14&gt;0, 'City 10'!$AF$14," "))))))</f>
        <v xml:space="preserve"> </v>
      </c>
      <c r="P120" s="405"/>
      <c r="Q120" s="410"/>
      <c r="R120" s="18"/>
    </row>
    <row r="121" spans="1:18" s="1" customFormat="1" ht="3" customHeight="1" thickBot="1" x14ac:dyDescent="0.3">
      <c r="A121" s="33"/>
      <c r="B121" s="5"/>
      <c r="C121" s="11"/>
      <c r="D121" s="5"/>
      <c r="E121" s="45"/>
      <c r="F121" s="409"/>
      <c r="G121" s="405"/>
      <c r="H121" s="410"/>
      <c r="I121" s="22"/>
      <c r="J121" s="33"/>
      <c r="K121" s="5"/>
      <c r="L121" s="11"/>
      <c r="M121" s="5"/>
      <c r="N121" s="45"/>
      <c r="O121" s="409"/>
      <c r="P121" s="405"/>
      <c r="Q121" s="410"/>
      <c r="R121" s="22"/>
    </row>
    <row r="122" spans="1:18" ht="15.75" thickBot="1" x14ac:dyDescent="0.3">
      <c r="A122" s="19"/>
      <c r="B122" s="92" t="s">
        <v>97</v>
      </c>
      <c r="D122" s="46" t="str">
        <f>IF('City 9'!$D$42&lt;&gt;0,'City 9'!$D$42," ")</f>
        <v xml:space="preserve"> </v>
      </c>
      <c r="F122" s="409" t="str">
        <f>(IF('City 9'!$D$14&gt;0, 'City 9'!$B$14, (IF('City 9'!$AJ$28&gt;0, 'City 9'!$AF$28, (IF('City 9'!$AJ$22&gt;0, 'City 9'!$AF$22, (IF('City 9'!$T$18&gt;0, 'City 9'!$P$18, (IF('City 9'!$D$22&gt;0, 'City 9'!$B$22, (IF('City 9'!$T$38&gt;0, 'City 9'!$P$38," "))))))))))))</f>
        <v xml:space="preserve"> </v>
      </c>
      <c r="G122" s="405"/>
      <c r="H122" s="410"/>
      <c r="I122" s="18"/>
      <c r="J122" s="19"/>
      <c r="K122" s="92" t="s">
        <v>97</v>
      </c>
      <c r="M122" s="46" t="str">
        <f>IF('City 10'!$D$42&lt;&gt;0,'City 10'!$D$42," ")</f>
        <v xml:space="preserve"> </v>
      </c>
      <c r="O122" s="409" t="str">
        <f>(IF('City 10'!$D$14&gt;0, 'City 10'!$B$14, (IF('City 10'!$AJ$28&gt;0, 'City 10'!$AF$28, (IF('City 10'!$AJ$22&gt;0, 'City 10'!$AF$22, (IF('City 10'!$T$18&gt;0, 'City 10'!$P$18, (IF('City 10'!$D$22&gt;0, 'City 10'!$B$22, (IF('City 10'!$T$38&gt;0, 'City 10'!$P$38," "))))))))))))</f>
        <v xml:space="preserve"> </v>
      </c>
      <c r="P122" s="405"/>
      <c r="Q122" s="410"/>
      <c r="R122" s="18"/>
    </row>
    <row r="123" spans="1:18" ht="3" customHeight="1" thickBot="1" x14ac:dyDescent="0.3">
      <c r="A123" s="19"/>
      <c r="B123" s="5"/>
      <c r="D123" s="5"/>
      <c r="F123" s="409"/>
      <c r="G123" s="405"/>
      <c r="H123" s="410"/>
      <c r="I123" s="18"/>
      <c r="J123" s="19"/>
      <c r="K123" s="5"/>
      <c r="M123" s="5"/>
      <c r="O123" s="409"/>
      <c r="P123" s="405"/>
      <c r="Q123" s="410"/>
      <c r="R123" s="18"/>
    </row>
    <row r="124" spans="1:18" ht="15.75" thickBot="1" x14ac:dyDescent="0.3">
      <c r="A124" s="19"/>
      <c r="B124" s="92" t="s">
        <v>152</v>
      </c>
      <c r="D124" s="46" t="str">
        <f>IF('City 9'!$T$42&lt;&gt;0,'City 9'!$T$42," ")</f>
        <v xml:space="preserve"> </v>
      </c>
      <c r="F124" s="409" t="str">
        <f>(IF('City 9'!$AJ$36&gt;0,'City 9'!$AF$36,(IF('City 9'!$T$26&gt;0,'City 9'!$P$26,(IF('City 9'!$T$30&gt;0,'City 9'!$P$30,(IF('City 9'!$D$18&gt;0,'City 9'!$B$18,(IF('City 9'!$T$24&gt;0,'City 9'!$P$24,(IF('City 9'!$AJ$12&gt;0,'City 9'!$AF$12," "))))))))))))</f>
        <v xml:space="preserve"> </v>
      </c>
      <c r="G124" s="405"/>
      <c r="H124" s="410"/>
      <c r="I124" s="18"/>
      <c r="J124" s="19"/>
      <c r="K124" s="92" t="s">
        <v>152</v>
      </c>
      <c r="M124" s="46" t="str">
        <f>IF('City 10'!$T$42&lt;&gt;0,'City 10'!$T$42," ")</f>
        <v xml:space="preserve"> </v>
      </c>
      <c r="O124" s="409" t="str">
        <f>(IF('City 10'!$AJ$36&gt;0,'City 10'!$AF$36,(IF('City 10'!$T$26&gt;0,'City 10'!$P$26,(IF('City 10'!$T$30&gt;0,'City 10'!$P$30,(IF('City 10'!$D$18&gt;0,'City 10'!$B$18,(IF('City 10'!$T$24&gt;0,'City 10'!$P$24,(IF('City 10'!$AJ$12&gt;0,'City 10'!$AF$12," "))))))))))))</f>
        <v xml:space="preserve"> </v>
      </c>
      <c r="P124" s="405"/>
      <c r="Q124" s="410"/>
      <c r="R124" s="18"/>
    </row>
    <row r="125" spans="1:18" ht="3" customHeight="1" thickBot="1" x14ac:dyDescent="0.3">
      <c r="A125" s="19"/>
      <c r="B125" s="5"/>
      <c r="D125" s="5"/>
      <c r="F125" s="409"/>
      <c r="G125" s="405"/>
      <c r="H125" s="410"/>
      <c r="I125" s="18"/>
      <c r="J125" s="19"/>
      <c r="K125" s="5"/>
      <c r="M125" s="5"/>
      <c r="O125" s="409"/>
      <c r="P125" s="405"/>
      <c r="Q125" s="410"/>
      <c r="R125" s="18"/>
    </row>
    <row r="126" spans="1:18" ht="15.75" thickBot="1" x14ac:dyDescent="0.3">
      <c r="A126" s="19"/>
      <c r="B126" s="92" t="s">
        <v>98</v>
      </c>
      <c r="D126" s="46" t="str">
        <f>IF('City 9'!$AJ$42&lt;&gt;0,'City 9'!$AJ$42," ")</f>
        <v xml:space="preserve"> </v>
      </c>
      <c r="F126" s="414" t="str">
        <f>(IF('City 9'!$T$12&gt;0,'City 9'!$P$12,(IF('City 9'!$D$20&gt;0,'City 9'!$B$34,(IF('City 9'!$AJ$32&gt;0,'City 9'!$AF$32,(IF('City 9'!$AJ$18&gt;0,'City 9'!$AF$18,(IF('City 9'!$T$14&gt;0,'City 9'!$P$14,(IF('City 9'!$T$32&gt;0,'City 9'!$P$32,(IF('City 9'!$AJ$16&gt;0,'City 9'!$AF$16,(IF('City 9'!$D$20&gt;0,'City 9'!$B$20," "))))))))))))))))</f>
        <v xml:space="preserve"> </v>
      </c>
      <c r="G126" s="415"/>
      <c r="H126" s="416"/>
      <c r="I126" s="18"/>
      <c r="J126" s="19"/>
      <c r="K126" s="92" t="s">
        <v>98</v>
      </c>
      <c r="M126" s="46" t="str">
        <f>IF('City 10'!$AJ$42&lt;&gt;0,'City 10'!$AJ$42," ")</f>
        <v xml:space="preserve"> </v>
      </c>
      <c r="O126" s="414" t="str">
        <f>(IF('City 10'!$T$12&gt;0,'City 10'!$P$12,(IF('City 10'!$D$20&gt;0,'City 10'!$B$34,(IF('City 10'!$AJ$32&gt;0,'City 10'!$AF$32,(IF('City 10'!$AJ$18&gt;0,'City 10'!$AF$18,(IF('City 10'!$T$14&gt;0,'City 10'!$P$14,(IF('City 10'!$T$32&gt;0,'City 10'!$P$32,(IF('City 10'!$AJ$16&gt;0,'City 10'!$AF$16,(IF('City 10'!$D$20&gt;0,'City 10'!$B$20," "))))))))))))))))</f>
        <v xml:space="preserve"> </v>
      </c>
      <c r="P126" s="415"/>
      <c r="Q126" s="416"/>
      <c r="R126" s="18"/>
    </row>
    <row r="127" spans="1:18" ht="3" customHeight="1" x14ac:dyDescent="0.25">
      <c r="A127" s="19"/>
      <c r="B127" s="5"/>
      <c r="D127" s="5"/>
      <c r="F127" s="5"/>
      <c r="H127" s="5"/>
      <c r="I127" s="18"/>
      <c r="J127" s="19"/>
      <c r="K127" s="5"/>
      <c r="M127" s="5"/>
      <c r="O127" s="5"/>
      <c r="Q127" s="5"/>
      <c r="R127" s="18"/>
    </row>
    <row r="128" spans="1:18" x14ac:dyDescent="0.25">
      <c r="A128" s="19"/>
      <c r="B128" s="359" t="s">
        <v>104</v>
      </c>
      <c r="C128" s="417"/>
      <c r="D128" s="417"/>
      <c r="E128" s="405"/>
      <c r="F128" s="405"/>
      <c r="G128" s="405"/>
      <c r="H128" s="405"/>
      <c r="I128" s="18"/>
      <c r="J128" s="19"/>
      <c r="K128" s="359" t="s">
        <v>104</v>
      </c>
      <c r="L128" s="417"/>
      <c r="M128" s="417"/>
      <c r="N128" s="405"/>
      <c r="O128" s="405"/>
      <c r="P128" s="405"/>
      <c r="Q128" s="405"/>
      <c r="R128" s="18"/>
    </row>
    <row r="129" spans="1:18" ht="3" customHeight="1" thickBot="1" x14ac:dyDescent="0.3">
      <c r="A129" s="19"/>
      <c r="B129" s="5"/>
      <c r="D129" s="5"/>
      <c r="F129" s="5"/>
      <c r="H129" s="5"/>
      <c r="I129" s="18"/>
      <c r="J129" s="19"/>
      <c r="K129" s="5"/>
      <c r="M129" s="5"/>
      <c r="O129" s="5"/>
      <c r="Q129" s="5"/>
      <c r="R129" s="18"/>
    </row>
    <row r="130" spans="1:18" x14ac:dyDescent="0.25">
      <c r="A130" s="19"/>
      <c r="B130" s="418" t="str">
        <f>IF('City 9'!$B$58&lt;&gt;0,'City 9'!$B$58," ")</f>
        <v xml:space="preserve"> </v>
      </c>
      <c r="C130" s="419"/>
      <c r="D130" s="419"/>
      <c r="E130" s="419"/>
      <c r="F130" s="419"/>
      <c r="G130" s="419"/>
      <c r="H130" s="420"/>
      <c r="I130" s="18"/>
      <c r="J130" s="19"/>
      <c r="K130" s="418" t="str">
        <f>IF('City 10'!$B$58&lt;&gt;0,'City 10'!$B$58," ")</f>
        <v xml:space="preserve"> </v>
      </c>
      <c r="L130" s="419"/>
      <c r="M130" s="419"/>
      <c r="N130" s="419"/>
      <c r="O130" s="419"/>
      <c r="P130" s="419"/>
      <c r="Q130" s="420"/>
      <c r="R130" s="18"/>
    </row>
    <row r="131" spans="1:18" ht="3" customHeight="1" x14ac:dyDescent="0.25">
      <c r="A131" s="19"/>
      <c r="B131" s="421"/>
      <c r="C131" s="422"/>
      <c r="D131" s="422"/>
      <c r="E131" s="422"/>
      <c r="F131" s="422"/>
      <c r="G131" s="422"/>
      <c r="H131" s="423"/>
      <c r="I131" s="18"/>
      <c r="J131" s="19"/>
      <c r="K131" s="421"/>
      <c r="L131" s="422"/>
      <c r="M131" s="422"/>
      <c r="N131" s="422"/>
      <c r="O131" s="422"/>
      <c r="P131" s="422"/>
      <c r="Q131" s="423"/>
      <c r="R131" s="18"/>
    </row>
    <row r="132" spans="1:18" x14ac:dyDescent="0.25">
      <c r="A132" s="19"/>
      <c r="B132" s="421"/>
      <c r="C132" s="422"/>
      <c r="D132" s="422"/>
      <c r="E132" s="422"/>
      <c r="F132" s="422"/>
      <c r="G132" s="422"/>
      <c r="H132" s="423"/>
      <c r="I132" s="18"/>
      <c r="J132" s="19"/>
      <c r="K132" s="421"/>
      <c r="L132" s="422"/>
      <c r="M132" s="422"/>
      <c r="N132" s="422"/>
      <c r="O132" s="422"/>
      <c r="P132" s="422"/>
      <c r="Q132" s="423"/>
      <c r="R132" s="18"/>
    </row>
    <row r="133" spans="1:18" x14ac:dyDescent="0.25">
      <c r="A133" s="19"/>
      <c r="B133" s="421"/>
      <c r="C133" s="422"/>
      <c r="D133" s="422"/>
      <c r="E133" s="422"/>
      <c r="F133" s="422"/>
      <c r="G133" s="422"/>
      <c r="H133" s="423"/>
      <c r="I133" s="18"/>
      <c r="J133" s="19"/>
      <c r="K133" s="421"/>
      <c r="L133" s="422"/>
      <c r="M133" s="422"/>
      <c r="N133" s="422"/>
      <c r="O133" s="422"/>
      <c r="P133" s="422"/>
      <c r="Q133" s="423"/>
      <c r="R133" s="18"/>
    </row>
    <row r="134" spans="1:18" ht="15.75" thickBot="1" x14ac:dyDescent="0.3">
      <c r="A134" s="19"/>
      <c r="B134" s="424"/>
      <c r="C134" s="425"/>
      <c r="D134" s="425"/>
      <c r="E134" s="425"/>
      <c r="F134" s="425"/>
      <c r="G134" s="425"/>
      <c r="H134" s="426"/>
      <c r="I134" s="18"/>
      <c r="J134" s="19"/>
      <c r="K134" s="424"/>
      <c r="L134" s="425"/>
      <c r="M134" s="425"/>
      <c r="N134" s="425"/>
      <c r="O134" s="425"/>
      <c r="P134" s="425"/>
      <c r="Q134" s="426"/>
      <c r="R134" s="18"/>
    </row>
    <row r="135" spans="1:18" ht="5.0999999999999996" customHeight="1" thickBot="1" x14ac:dyDescent="0.3">
      <c r="A135" s="34"/>
      <c r="B135" s="4"/>
      <c r="C135" s="28"/>
      <c r="D135" s="4"/>
      <c r="E135" s="4"/>
      <c r="F135" s="4"/>
      <c r="G135" s="28"/>
      <c r="H135" s="4"/>
      <c r="I135" s="29"/>
      <c r="J135" s="34"/>
      <c r="K135" s="4"/>
      <c r="L135" s="28"/>
      <c r="M135" s="4"/>
      <c r="N135" s="4"/>
      <c r="O135" s="4"/>
      <c r="P135" s="28"/>
      <c r="Q135" s="4"/>
      <c r="R135" s="29"/>
    </row>
    <row r="136" spans="1:18" ht="5.0999999999999996" customHeight="1" thickBot="1" x14ac:dyDescent="0.3">
      <c r="A136" s="12"/>
      <c r="B136" s="14"/>
      <c r="C136" s="13"/>
      <c r="D136" s="14"/>
      <c r="E136" s="14"/>
      <c r="F136" s="14"/>
      <c r="G136" s="13"/>
      <c r="H136" s="14"/>
      <c r="I136" s="15"/>
      <c r="J136" s="12"/>
      <c r="K136" s="14"/>
      <c r="L136" s="13"/>
      <c r="M136" s="14"/>
      <c r="N136" s="14"/>
      <c r="O136" s="14"/>
      <c r="P136" s="13"/>
      <c r="Q136" s="14"/>
      <c r="R136" s="15"/>
    </row>
    <row r="137" spans="1:18" ht="15.75" thickBot="1" x14ac:dyDescent="0.3">
      <c r="A137" s="19"/>
      <c r="B137" s="69" t="s">
        <v>83</v>
      </c>
      <c r="C137" s="61"/>
      <c r="D137" s="411" t="str">
        <f>IF('City 11'!$D$2&lt;&gt;0,'City 11'!$D$2," ")</f>
        <v xml:space="preserve"> </v>
      </c>
      <c r="E137" s="412"/>
      <c r="F137" s="412"/>
      <c r="G137" s="412"/>
      <c r="H137" s="413"/>
      <c r="I137" s="18"/>
      <c r="J137" s="19"/>
      <c r="K137" s="69" t="s">
        <v>83</v>
      </c>
      <c r="L137" s="61"/>
      <c r="M137" s="411" t="str">
        <f>IF('City 12'!$D$2&lt;&gt;0,'City 12'!$D$2," ")</f>
        <v xml:space="preserve"> </v>
      </c>
      <c r="N137" s="412"/>
      <c r="O137" s="412"/>
      <c r="P137" s="412"/>
      <c r="Q137" s="413"/>
      <c r="R137" s="18"/>
    </row>
    <row r="138" spans="1:18" s="1" customFormat="1" ht="3" customHeight="1" thickBot="1" x14ac:dyDescent="0.3">
      <c r="A138" s="33"/>
      <c r="B138" s="61"/>
      <c r="C138" s="61"/>
      <c r="D138" s="45"/>
      <c r="E138" s="11"/>
      <c r="F138" s="61"/>
      <c r="G138" s="61"/>
      <c r="H138" s="11"/>
      <c r="I138" s="22"/>
      <c r="J138" s="33"/>
      <c r="K138" s="61"/>
      <c r="L138" s="61"/>
      <c r="M138" s="45"/>
      <c r="N138" s="11"/>
      <c r="O138" s="61"/>
      <c r="P138" s="61"/>
      <c r="Q138" s="11"/>
      <c r="R138" s="22"/>
    </row>
    <row r="139" spans="1:18" ht="15.75" thickBot="1" x14ac:dyDescent="0.3">
      <c r="A139" s="19"/>
      <c r="B139" s="92" t="s">
        <v>49</v>
      </c>
      <c r="C139" s="62"/>
      <c r="D139" s="46" t="str">
        <f>IF('City 11'!$D$4&lt;&gt;0,'City 11'!$D$4," ")</f>
        <v xml:space="preserve"> </v>
      </c>
      <c r="E139" s="81"/>
      <c r="F139" s="92" t="s">
        <v>43</v>
      </c>
      <c r="G139" s="62"/>
      <c r="H139" s="46" t="str">
        <f>IF('City 11'!$T$6&lt;&gt;0,'City 11'!$T$6," ")</f>
        <v xml:space="preserve"> </v>
      </c>
      <c r="I139" s="18"/>
      <c r="J139" s="19"/>
      <c r="K139" s="92" t="s">
        <v>49</v>
      </c>
      <c r="L139" s="62"/>
      <c r="M139" s="46" t="str">
        <f>IF('City 12'!$D$4&lt;&gt;0,'City 12'!$D$4," ")</f>
        <v xml:space="preserve"> </v>
      </c>
      <c r="N139" s="81"/>
      <c r="O139" s="92" t="s">
        <v>43</v>
      </c>
      <c r="P139" s="62"/>
      <c r="Q139" s="46" t="str">
        <f>IF('City 12'!$T$6&lt;&gt;0,'City 12'!$T$6," ")</f>
        <v xml:space="preserve"> </v>
      </c>
      <c r="R139" s="18"/>
    </row>
    <row r="140" spans="1:18" s="1" customFormat="1" ht="3" customHeight="1" thickBot="1" x14ac:dyDescent="0.3">
      <c r="A140" s="33"/>
      <c r="B140" s="61"/>
      <c r="C140" s="61"/>
      <c r="D140" s="21"/>
      <c r="E140" s="21"/>
      <c r="F140" s="11"/>
      <c r="G140" s="11"/>
      <c r="H140" s="11"/>
      <c r="I140" s="22"/>
      <c r="J140" s="33"/>
      <c r="K140" s="61"/>
      <c r="L140" s="61"/>
      <c r="M140" s="21"/>
      <c r="N140" s="21"/>
      <c r="O140" s="11"/>
      <c r="P140" s="11"/>
      <c r="Q140" s="11"/>
      <c r="R140" s="22"/>
    </row>
    <row r="141" spans="1:18" ht="15.75" thickBot="1" x14ac:dyDescent="0.3">
      <c r="A141" s="19"/>
      <c r="B141" s="92" t="s">
        <v>50</v>
      </c>
      <c r="C141" s="62"/>
      <c r="D141" s="46" t="str">
        <f>IF('City 11'!$D$6&lt;&gt;0,'City 11'!$D$6," ")</f>
        <v xml:space="preserve"> </v>
      </c>
      <c r="E141" s="81"/>
      <c r="F141" s="92" t="s">
        <v>95</v>
      </c>
      <c r="G141" s="62"/>
      <c r="H141" s="46">
        <f>IF('City 11'!$AJ$4&lt;&gt;0,'City 11'!$AJ$4,0)</f>
        <v>0</v>
      </c>
      <c r="I141" s="18"/>
      <c r="J141" s="19"/>
      <c r="K141" s="92" t="s">
        <v>50</v>
      </c>
      <c r="L141" s="62"/>
      <c r="M141" s="46" t="str">
        <f>IF('City 12'!$D$6&lt;&gt;0,'City 12'!$D$6," ")</f>
        <v xml:space="preserve"> </v>
      </c>
      <c r="N141" s="81"/>
      <c r="O141" s="92" t="s">
        <v>95</v>
      </c>
      <c r="P141" s="62"/>
      <c r="Q141" s="46">
        <f>IF('City 12'!$AJ$4&lt;&gt;0,'City 12'!$AJ$4,0)</f>
        <v>0</v>
      </c>
      <c r="R141" s="18"/>
    </row>
    <row r="142" spans="1:18" s="1" customFormat="1" ht="3" customHeight="1" thickBot="1" x14ac:dyDescent="0.3">
      <c r="A142" s="33"/>
      <c r="B142" s="61"/>
      <c r="C142" s="61"/>
      <c r="D142" s="21"/>
      <c r="E142" s="21"/>
      <c r="F142" s="11"/>
      <c r="G142" s="11"/>
      <c r="H142" s="11"/>
      <c r="I142" s="22"/>
      <c r="J142" s="33"/>
      <c r="K142" s="61"/>
      <c r="L142" s="61"/>
      <c r="M142" s="21"/>
      <c r="N142" s="21"/>
      <c r="O142" s="11"/>
      <c r="P142" s="11"/>
      <c r="Q142" s="11"/>
      <c r="R142" s="22"/>
    </row>
    <row r="143" spans="1:18" ht="15.75" thickBot="1" x14ac:dyDescent="0.3">
      <c r="A143" s="19"/>
      <c r="B143" s="92" t="s">
        <v>51</v>
      </c>
      <c r="C143" s="62"/>
      <c r="D143" s="46" t="str">
        <f>IF('City 11'!$T$4&lt;&gt;0,'City 11'!$T$4," ")</f>
        <v xml:space="preserve"> </v>
      </c>
      <c r="E143" s="81"/>
      <c r="F143" s="359" t="s">
        <v>148</v>
      </c>
      <c r="G143" s="417"/>
      <c r="H143" s="417"/>
      <c r="I143" s="18"/>
      <c r="J143" s="19"/>
      <c r="K143" s="92" t="s">
        <v>51</v>
      </c>
      <c r="L143" s="62"/>
      <c r="M143" s="46" t="str">
        <f>IF('City 12'!$T$4&lt;&gt;0,'City 12'!$T$4," ")</f>
        <v xml:space="preserve"> </v>
      </c>
      <c r="N143" s="81"/>
      <c r="O143" s="359" t="s">
        <v>148</v>
      </c>
      <c r="P143" s="417"/>
      <c r="Q143" s="417"/>
      <c r="R143" s="18"/>
    </row>
    <row r="144" spans="1:18" s="1" customFormat="1" ht="3" customHeight="1" thickBot="1" x14ac:dyDescent="0.3">
      <c r="A144" s="33"/>
      <c r="B144" s="62"/>
      <c r="C144" s="62"/>
      <c r="D144" s="21"/>
      <c r="E144" s="21"/>
      <c r="F144" s="5"/>
      <c r="G144" s="11"/>
      <c r="H144" s="5"/>
      <c r="I144" s="22"/>
      <c r="J144" s="33"/>
      <c r="K144" s="62"/>
      <c r="L144" s="62"/>
      <c r="M144" s="21"/>
      <c r="N144" s="21"/>
      <c r="O144" s="5"/>
      <c r="P144" s="11"/>
      <c r="Q144" s="5"/>
      <c r="R144" s="22"/>
    </row>
    <row r="145" spans="1:18" x14ac:dyDescent="0.25">
      <c r="A145" s="19"/>
      <c r="B145" s="359" t="s">
        <v>149</v>
      </c>
      <c r="C145" s="417"/>
      <c r="D145" s="417"/>
      <c r="E145" s="81"/>
      <c r="F145" s="427" t="str">
        <f>IF('City 11'!$D$26&gt;0, 'City 11'!$B$26, (IF('City 11'!$D$36&gt;0, 'City 11'!$B$36, (IF('City 11'!$D$16&gt;0, 'City 11'!$B$36, (IF('City 11'!$AJ$34&gt;0, 'City 11'!$AF$34," ")))))))</f>
        <v xml:space="preserve"> </v>
      </c>
      <c r="G145" s="428"/>
      <c r="H145" s="429"/>
      <c r="I145" s="18"/>
      <c r="J145" s="19"/>
      <c r="K145" s="359" t="s">
        <v>149</v>
      </c>
      <c r="L145" s="417"/>
      <c r="M145" s="417"/>
      <c r="N145" s="81"/>
      <c r="O145" s="427" t="str">
        <f>IF('City 12'!$D$26&gt;0, 'City 12'!$B$26, (IF('City 12'!$D$36&gt;0, 'City 12'!$B$36, (IF('City 12'!$D$16&gt;0, 'City 12'!$B$36, (IF('City 12'!$AJ$34&gt;0, 'City 12'!$AF$34," ")))))))</f>
        <v xml:space="preserve"> </v>
      </c>
      <c r="P145" s="428"/>
      <c r="Q145" s="429"/>
      <c r="R145" s="18"/>
    </row>
    <row r="146" spans="1:18" s="1" customFormat="1" ht="3" customHeight="1" thickBot="1" x14ac:dyDescent="0.3">
      <c r="A146" s="33"/>
      <c r="B146" s="5"/>
      <c r="C146" s="11"/>
      <c r="D146" s="5"/>
      <c r="E146" s="21"/>
      <c r="F146" s="409"/>
      <c r="G146" s="405"/>
      <c r="H146" s="410"/>
      <c r="I146" s="22"/>
      <c r="J146" s="33"/>
      <c r="K146" s="5"/>
      <c r="L146" s="11"/>
      <c r="M146" s="5"/>
      <c r="N146" s="21"/>
      <c r="O146" s="409"/>
      <c r="P146" s="405"/>
      <c r="Q146" s="410"/>
      <c r="R146" s="22"/>
    </row>
    <row r="147" spans="1:18" ht="15.75" thickBot="1" x14ac:dyDescent="0.3">
      <c r="A147" s="19"/>
      <c r="B147" s="92" t="s">
        <v>96</v>
      </c>
      <c r="C147" s="62"/>
      <c r="D147" s="46" t="str">
        <f>IF('City 11'!$AJ$2&lt;&gt;0,'City 11'!$AJ$2," ")</f>
        <v xml:space="preserve"> </v>
      </c>
      <c r="E147" s="81"/>
      <c r="F147" s="409" t="str">
        <f>(IF('City 11'!$D$28&gt;0, 'City 11'!$B$28, (IF('City 11'!$AJ$24&gt;0, 'City 11'!$AF$24, (IF('City 11'!$AJ$14&gt;0, 'City 11'!$AF$14," "))))))</f>
        <v xml:space="preserve"> </v>
      </c>
      <c r="G147" s="405"/>
      <c r="H147" s="410"/>
      <c r="I147" s="18"/>
      <c r="J147" s="19"/>
      <c r="K147" s="92" t="s">
        <v>96</v>
      </c>
      <c r="L147" s="62"/>
      <c r="M147" s="46" t="str">
        <f>IF('City 12'!$AJ$2&lt;&gt;0,'City 12'!$AJ$2," ")</f>
        <v xml:space="preserve"> </v>
      </c>
      <c r="N147" s="81"/>
      <c r="O147" s="409" t="str">
        <f>(IF('City 12'!$D$28&gt;0, 'City 12'!$B$28, (IF('City 12'!$AJ$24&gt;0, 'City 12'!$AF$24, (IF('City 12'!$AJ$14&gt;0, 'City 12'!$AF$14," "))))))</f>
        <v xml:space="preserve"> </v>
      </c>
      <c r="P147" s="405"/>
      <c r="Q147" s="410"/>
      <c r="R147" s="18"/>
    </row>
    <row r="148" spans="1:18" s="1" customFormat="1" ht="3" customHeight="1" thickBot="1" x14ac:dyDescent="0.3">
      <c r="A148" s="33"/>
      <c r="B148" s="5"/>
      <c r="C148" s="11"/>
      <c r="D148" s="5"/>
      <c r="E148" s="45"/>
      <c r="F148" s="409"/>
      <c r="G148" s="405"/>
      <c r="H148" s="410"/>
      <c r="I148" s="22"/>
      <c r="J148" s="33"/>
      <c r="K148" s="5"/>
      <c r="L148" s="11"/>
      <c r="M148" s="5"/>
      <c r="N148" s="45"/>
      <c r="O148" s="409"/>
      <c r="P148" s="405"/>
      <c r="Q148" s="410"/>
      <c r="R148" s="22"/>
    </row>
    <row r="149" spans="1:18" ht="15.75" thickBot="1" x14ac:dyDescent="0.3">
      <c r="A149" s="19"/>
      <c r="B149" s="92" t="s">
        <v>97</v>
      </c>
      <c r="D149" s="46" t="str">
        <f>IF('City 11'!$D$42&lt;&gt;0,'City 11'!$D$42," ")</f>
        <v xml:space="preserve"> </v>
      </c>
      <c r="F149" s="409" t="str">
        <f>(IF('City 11'!$D$14&gt;0, 'City 11'!$B$14, (IF('City 11'!$AJ$28&gt;0, 'City 11'!$AF$28, (IF('City 11'!$AJ$22&gt;0, 'City 11'!$AF$22, (IF('City 11'!$T$18&gt;0, 'City 11'!$P$18, (IF('City 11'!$D$22&gt;0, 'City 11'!$B$22, (IF('City 11'!$T$38&gt;0, 'City 11'!$P$38," "))))))))))))</f>
        <v xml:space="preserve"> </v>
      </c>
      <c r="G149" s="405"/>
      <c r="H149" s="410"/>
      <c r="I149" s="18"/>
      <c r="J149" s="19"/>
      <c r="K149" s="92" t="s">
        <v>97</v>
      </c>
      <c r="M149" s="46" t="str">
        <f>IF('City 12'!$D$42&lt;&gt;0,'City 12'!$D$42," ")</f>
        <v xml:space="preserve"> </v>
      </c>
      <c r="O149" s="409" t="str">
        <f>(IF('City 12'!$D$14&gt;0, 'City 12'!$B$14, (IF('City 12'!$AJ$28&gt;0, 'City 12'!$AF$28, (IF('City 12'!$AJ$22&gt;0, 'City 12'!$AF$22, (IF('City 12'!$T$18&gt;0, 'City 12'!$P$18, (IF('City 12'!$D$22&gt;0, 'City 12'!$B$22, (IF('City 12'!$T$38&gt;0, 'City 12'!$P$38," "))))))))))))</f>
        <v xml:space="preserve"> </v>
      </c>
      <c r="P149" s="405"/>
      <c r="Q149" s="410"/>
      <c r="R149" s="18"/>
    </row>
    <row r="150" spans="1:18" ht="3" customHeight="1" thickBot="1" x14ac:dyDescent="0.3">
      <c r="A150" s="19"/>
      <c r="B150" s="5"/>
      <c r="D150" s="5"/>
      <c r="F150" s="409"/>
      <c r="G150" s="405"/>
      <c r="H150" s="410"/>
      <c r="I150" s="18"/>
      <c r="J150" s="19"/>
      <c r="K150" s="5"/>
      <c r="M150" s="5"/>
      <c r="O150" s="409"/>
      <c r="P150" s="405"/>
      <c r="Q150" s="410"/>
      <c r="R150" s="18"/>
    </row>
    <row r="151" spans="1:18" ht="15.75" thickBot="1" x14ac:dyDescent="0.3">
      <c r="A151" s="19"/>
      <c r="B151" s="92" t="s">
        <v>152</v>
      </c>
      <c r="D151" s="46" t="str">
        <f>IF('City 11'!$T$42&lt;&gt;0,'City 11'!$T$42," ")</f>
        <v xml:space="preserve"> </v>
      </c>
      <c r="F151" s="409" t="str">
        <f>(IF('City 11'!$AJ$36&gt;0,'City 11'!$AF$36,(IF('City 11'!$T$26&gt;0,'City 11'!$P$26,(IF('City 11'!$T$30&gt;0,'City 11'!$P$30,(IF('City 11'!$D$18&gt;0,'City 11'!$B$18,(IF('City 11'!$T$24&gt;0,'City 11'!$P$24,(IF('City 11'!$AJ$12&gt;0,'City 11'!$AF$12," "))))))))))))</f>
        <v xml:space="preserve"> </v>
      </c>
      <c r="G151" s="405"/>
      <c r="H151" s="410"/>
      <c r="I151" s="18"/>
      <c r="J151" s="19"/>
      <c r="K151" s="92" t="s">
        <v>152</v>
      </c>
      <c r="M151" s="46" t="str">
        <f>IF('City 12'!$T$42&lt;&gt;0,'City 12'!$T$42," ")</f>
        <v xml:space="preserve"> </v>
      </c>
      <c r="O151" s="409" t="str">
        <f>(IF('City 12'!$AJ$36&gt;0,'City 12'!$AF$36,(IF('City 12'!$T$26&gt;0,'City 12'!$P$26,(IF('City 12'!$T$30&gt;0,'City 12'!$P$30,(IF('City 12'!$D$18&gt;0,'City 12'!$B$18,(IF('City 12'!$T$24&gt;0,'City 12'!$P$24,(IF('City 12'!$AJ$12&gt;0,'City 12'!$AF$12," "))))))))))))</f>
        <v xml:space="preserve"> </v>
      </c>
      <c r="P151" s="405"/>
      <c r="Q151" s="410"/>
      <c r="R151" s="18"/>
    </row>
    <row r="152" spans="1:18" ht="3" customHeight="1" thickBot="1" x14ac:dyDescent="0.3">
      <c r="A152" s="19"/>
      <c r="B152" s="5"/>
      <c r="D152" s="5"/>
      <c r="F152" s="409"/>
      <c r="G152" s="405"/>
      <c r="H152" s="410"/>
      <c r="I152" s="18"/>
      <c r="J152" s="19"/>
      <c r="K152" s="5"/>
      <c r="M152" s="5"/>
      <c r="O152" s="409"/>
      <c r="P152" s="405"/>
      <c r="Q152" s="410"/>
      <c r="R152" s="18"/>
    </row>
    <row r="153" spans="1:18" ht="15.75" thickBot="1" x14ac:dyDescent="0.3">
      <c r="A153" s="19"/>
      <c r="B153" s="92" t="s">
        <v>98</v>
      </c>
      <c r="D153" s="46" t="str">
        <f>IF('City 11'!$AJ$42&lt;&gt;0,'City 11'!$AJ$42," ")</f>
        <v xml:space="preserve"> </v>
      </c>
      <c r="F153" s="414" t="str">
        <f>(IF('City 11'!$T$12&gt;0,'City 11'!$P$12,(IF('City 11'!$D$20&gt;0,'City 11'!$B$34,(IF('City 11'!$AJ$32&gt;0,'City 11'!$AF$32,(IF('City 11'!$AJ$18&gt;0,'City 11'!$AF$18,(IF('City 11'!$T$14&gt;0,'City 11'!$P$14,(IF('City 11'!$T$32&gt;0,'City 11'!$P$32,(IF('City 11'!$AJ$16&gt;0,'City 11'!$AF$16,(IF('City 11'!$D$20&gt;0,'City 11'!$B$20," "))))))))))))))))</f>
        <v xml:space="preserve"> </v>
      </c>
      <c r="G153" s="415"/>
      <c r="H153" s="416"/>
      <c r="I153" s="18"/>
      <c r="J153" s="19"/>
      <c r="K153" s="92" t="s">
        <v>98</v>
      </c>
      <c r="M153" s="46" t="str">
        <f>IF('City 12'!$AJ$42&lt;&gt;0,'City 12'!$AJ$42," ")</f>
        <v xml:space="preserve"> </v>
      </c>
      <c r="O153" s="414" t="str">
        <f>(IF('City 12'!$T$12&gt;0,'City 12'!$P$12,(IF('City 12'!$D$20&gt;0,'City 12'!$B$34,(IF('City 12'!$AJ$32&gt;0,'City 12'!$AF$32,(IF('City 12'!$AJ$18&gt;0,'City 12'!$AF$18,(IF('City 12'!$T$14&gt;0,'City 12'!$P$14,(IF('City 12'!$T$32&gt;0,'City 12'!$P$32,(IF('City 12'!$AJ$16&gt;0,'City 12'!$AF$16,(IF('City 12'!$D$20&gt;0,'City 12'!$B$20," "))))))))))))))))</f>
        <v xml:space="preserve"> </v>
      </c>
      <c r="P153" s="415"/>
      <c r="Q153" s="416"/>
      <c r="R153" s="18"/>
    </row>
    <row r="154" spans="1:18" ht="3" customHeight="1" x14ac:dyDescent="0.25">
      <c r="A154" s="19"/>
      <c r="B154" s="5"/>
      <c r="D154" s="5"/>
      <c r="F154" s="5"/>
      <c r="H154" s="5"/>
      <c r="I154" s="18"/>
      <c r="J154" s="19"/>
      <c r="K154" s="5"/>
      <c r="M154" s="5"/>
      <c r="O154" s="5"/>
      <c r="Q154" s="5"/>
      <c r="R154" s="18"/>
    </row>
    <row r="155" spans="1:18" x14ac:dyDescent="0.25">
      <c r="A155" s="19"/>
      <c r="B155" s="359" t="s">
        <v>104</v>
      </c>
      <c r="C155" s="417"/>
      <c r="D155" s="417"/>
      <c r="E155" s="405"/>
      <c r="F155" s="405"/>
      <c r="G155" s="405"/>
      <c r="H155" s="405"/>
      <c r="I155" s="18"/>
      <c r="J155" s="19"/>
      <c r="K155" s="359" t="s">
        <v>104</v>
      </c>
      <c r="L155" s="417"/>
      <c r="M155" s="417"/>
      <c r="N155" s="405"/>
      <c r="O155" s="405"/>
      <c r="P155" s="405"/>
      <c r="Q155" s="405"/>
      <c r="R155" s="18"/>
    </row>
    <row r="156" spans="1:18" ht="3" customHeight="1" thickBot="1" x14ac:dyDescent="0.3">
      <c r="A156" s="19"/>
      <c r="B156" s="5"/>
      <c r="D156" s="5"/>
      <c r="F156" s="5"/>
      <c r="H156" s="5"/>
      <c r="I156" s="18"/>
      <c r="J156" s="19"/>
      <c r="K156" s="5"/>
      <c r="M156" s="5"/>
      <c r="O156" s="5"/>
      <c r="Q156" s="5"/>
      <c r="R156" s="18"/>
    </row>
    <row r="157" spans="1:18" x14ac:dyDescent="0.25">
      <c r="A157" s="19"/>
      <c r="B157" s="418" t="str">
        <f>IF('City 11'!$B$58&lt;&gt;0,'City 11'!$B$58," ")</f>
        <v xml:space="preserve"> </v>
      </c>
      <c r="C157" s="419"/>
      <c r="D157" s="419"/>
      <c r="E157" s="419"/>
      <c r="F157" s="419"/>
      <c r="G157" s="419"/>
      <c r="H157" s="420"/>
      <c r="I157" s="18"/>
      <c r="J157" s="19"/>
      <c r="K157" s="418" t="str">
        <f>IF('City 12'!$B$58&lt;&gt;0,'City 12'!$B$58," ")</f>
        <v xml:space="preserve"> </v>
      </c>
      <c r="L157" s="419"/>
      <c r="M157" s="419"/>
      <c r="N157" s="419"/>
      <c r="O157" s="419"/>
      <c r="P157" s="419"/>
      <c r="Q157" s="420"/>
      <c r="R157" s="18"/>
    </row>
    <row r="158" spans="1:18" ht="3" customHeight="1" x14ac:dyDescent="0.25">
      <c r="A158" s="19"/>
      <c r="B158" s="421"/>
      <c r="C158" s="422"/>
      <c r="D158" s="422"/>
      <c r="E158" s="422"/>
      <c r="F158" s="422"/>
      <c r="G158" s="422"/>
      <c r="H158" s="423"/>
      <c r="I158" s="18"/>
      <c r="J158" s="19"/>
      <c r="K158" s="421"/>
      <c r="L158" s="422"/>
      <c r="M158" s="422"/>
      <c r="N158" s="422"/>
      <c r="O158" s="422"/>
      <c r="P158" s="422"/>
      <c r="Q158" s="423"/>
      <c r="R158" s="18"/>
    </row>
    <row r="159" spans="1:18" x14ac:dyDescent="0.25">
      <c r="A159" s="19"/>
      <c r="B159" s="421"/>
      <c r="C159" s="422"/>
      <c r="D159" s="422"/>
      <c r="E159" s="422"/>
      <c r="F159" s="422"/>
      <c r="G159" s="422"/>
      <c r="H159" s="423"/>
      <c r="I159" s="18"/>
      <c r="J159" s="19"/>
      <c r="K159" s="421"/>
      <c r="L159" s="422"/>
      <c r="M159" s="422"/>
      <c r="N159" s="422"/>
      <c r="O159" s="422"/>
      <c r="P159" s="422"/>
      <c r="Q159" s="423"/>
      <c r="R159" s="18"/>
    </row>
    <row r="160" spans="1:18" x14ac:dyDescent="0.25">
      <c r="A160" s="19"/>
      <c r="B160" s="421"/>
      <c r="C160" s="422"/>
      <c r="D160" s="422"/>
      <c r="E160" s="422"/>
      <c r="F160" s="422"/>
      <c r="G160" s="422"/>
      <c r="H160" s="423"/>
      <c r="I160" s="18"/>
      <c r="J160" s="19"/>
      <c r="K160" s="421"/>
      <c r="L160" s="422"/>
      <c r="M160" s="422"/>
      <c r="N160" s="422"/>
      <c r="O160" s="422"/>
      <c r="P160" s="422"/>
      <c r="Q160" s="423"/>
      <c r="R160" s="18"/>
    </row>
    <row r="161" spans="1:18" ht="15.75" thickBot="1" x14ac:dyDescent="0.3">
      <c r="A161" s="19"/>
      <c r="B161" s="424"/>
      <c r="C161" s="425"/>
      <c r="D161" s="425"/>
      <c r="E161" s="425"/>
      <c r="F161" s="425"/>
      <c r="G161" s="425"/>
      <c r="H161" s="426"/>
      <c r="I161" s="18"/>
      <c r="J161" s="19"/>
      <c r="K161" s="424"/>
      <c r="L161" s="425"/>
      <c r="M161" s="425"/>
      <c r="N161" s="425"/>
      <c r="O161" s="425"/>
      <c r="P161" s="425"/>
      <c r="Q161" s="426"/>
      <c r="R161" s="18"/>
    </row>
    <row r="162" spans="1:18" ht="5.0999999999999996" customHeight="1" thickBot="1" x14ac:dyDescent="0.3">
      <c r="A162" s="34"/>
      <c r="B162" s="4"/>
      <c r="C162" s="28"/>
      <c r="D162" s="4"/>
      <c r="E162" s="4"/>
      <c r="F162" s="4"/>
      <c r="G162" s="28"/>
      <c r="H162" s="4"/>
      <c r="I162" s="29"/>
      <c r="J162" s="34"/>
      <c r="K162" s="4"/>
      <c r="L162" s="28"/>
      <c r="M162" s="4"/>
      <c r="N162" s="4"/>
      <c r="O162" s="4"/>
      <c r="P162" s="28"/>
      <c r="Q162" s="4"/>
      <c r="R162" s="29"/>
    </row>
    <row r="163" spans="1:18" ht="5.0999999999999996" customHeight="1" thickBot="1" x14ac:dyDescent="0.3">
      <c r="A163" s="12"/>
      <c r="B163" s="14"/>
      <c r="C163" s="13"/>
      <c r="D163" s="14"/>
      <c r="E163" s="14"/>
      <c r="F163" s="14"/>
      <c r="G163" s="13"/>
      <c r="H163" s="14"/>
      <c r="I163" s="15"/>
      <c r="J163" s="12"/>
      <c r="K163" s="14"/>
      <c r="L163" s="13"/>
      <c r="M163" s="14"/>
      <c r="N163" s="14"/>
      <c r="O163" s="14"/>
      <c r="P163" s="13"/>
      <c r="Q163" s="14"/>
      <c r="R163" s="15"/>
    </row>
    <row r="164" spans="1:18" ht="15.75" thickBot="1" x14ac:dyDescent="0.3">
      <c r="A164" s="19"/>
      <c r="B164" s="69" t="s">
        <v>83</v>
      </c>
      <c r="C164" s="61"/>
      <c r="D164" s="411" t="str">
        <f>IF('City 13'!$D$2&lt;&gt;0,'City 13'!$D$2," ")</f>
        <v xml:space="preserve"> </v>
      </c>
      <c r="E164" s="412"/>
      <c r="F164" s="412"/>
      <c r="G164" s="412"/>
      <c r="H164" s="413"/>
      <c r="I164" s="18"/>
      <c r="J164" s="19"/>
      <c r="K164" s="69" t="s">
        <v>83</v>
      </c>
      <c r="L164" s="61"/>
      <c r="M164" s="411" t="str">
        <f>IF('City 14'!$D$2&lt;&gt;0,'City 14'!$D$2," ")</f>
        <v xml:space="preserve"> </v>
      </c>
      <c r="N164" s="412"/>
      <c r="O164" s="412"/>
      <c r="P164" s="412"/>
      <c r="Q164" s="413"/>
      <c r="R164" s="18"/>
    </row>
    <row r="165" spans="1:18" s="1" customFormat="1" ht="3" customHeight="1" thickBot="1" x14ac:dyDescent="0.3">
      <c r="A165" s="33"/>
      <c r="B165" s="61"/>
      <c r="C165" s="61"/>
      <c r="D165" s="45"/>
      <c r="E165" s="11"/>
      <c r="F165" s="61"/>
      <c r="G165" s="61"/>
      <c r="H165" s="11"/>
      <c r="I165" s="22"/>
      <c r="J165" s="33"/>
      <c r="K165" s="61"/>
      <c r="L165" s="61"/>
      <c r="M165" s="45"/>
      <c r="N165" s="11"/>
      <c r="O165" s="61"/>
      <c r="P165" s="61"/>
      <c r="Q165" s="11"/>
      <c r="R165" s="22"/>
    </row>
    <row r="166" spans="1:18" ht="15.75" thickBot="1" x14ac:dyDescent="0.3">
      <c r="A166" s="19"/>
      <c r="B166" s="92" t="s">
        <v>49</v>
      </c>
      <c r="C166" s="62"/>
      <c r="D166" s="46" t="str">
        <f>IF('City 13'!$D$4&lt;&gt;0,'City 13'!$D$4," ")</f>
        <v xml:space="preserve"> </v>
      </c>
      <c r="E166" s="81"/>
      <c r="F166" s="92" t="s">
        <v>43</v>
      </c>
      <c r="G166" s="62"/>
      <c r="H166" s="46" t="str">
        <f>IF('City 13'!$T$6&lt;&gt;0,'City 13'!$T$6," ")</f>
        <v xml:space="preserve"> </v>
      </c>
      <c r="I166" s="18"/>
      <c r="J166" s="19"/>
      <c r="K166" s="92" t="s">
        <v>49</v>
      </c>
      <c r="L166" s="62"/>
      <c r="M166" s="46" t="str">
        <f>IF('City 14'!$D$4&lt;&gt;0,'City 14'!$D$4," ")</f>
        <v xml:space="preserve"> </v>
      </c>
      <c r="N166" s="81"/>
      <c r="O166" s="92" t="s">
        <v>43</v>
      </c>
      <c r="P166" s="62"/>
      <c r="Q166" s="46" t="str">
        <f>IF('City 14'!$T$6&lt;&gt;0,'City 14'!$T$6," ")</f>
        <v xml:space="preserve"> </v>
      </c>
      <c r="R166" s="18"/>
    </row>
    <row r="167" spans="1:18" s="1" customFormat="1" ht="3" customHeight="1" thickBot="1" x14ac:dyDescent="0.3">
      <c r="A167" s="33"/>
      <c r="B167" s="61"/>
      <c r="C167" s="61"/>
      <c r="D167" s="21"/>
      <c r="E167" s="21"/>
      <c r="F167" s="11"/>
      <c r="G167" s="11"/>
      <c r="H167" s="11"/>
      <c r="I167" s="22"/>
      <c r="J167" s="33"/>
      <c r="K167" s="61"/>
      <c r="L167" s="61"/>
      <c r="M167" s="21"/>
      <c r="N167" s="21"/>
      <c r="O167" s="11"/>
      <c r="P167" s="11"/>
      <c r="Q167" s="11"/>
      <c r="R167" s="22"/>
    </row>
    <row r="168" spans="1:18" ht="15.75" thickBot="1" x14ac:dyDescent="0.3">
      <c r="A168" s="19"/>
      <c r="B168" s="92" t="s">
        <v>50</v>
      </c>
      <c r="C168" s="62"/>
      <c r="D168" s="46" t="str">
        <f>IF('City 13'!$D$6&lt;&gt;0,'City 13'!$D$6," ")</f>
        <v xml:space="preserve"> </v>
      </c>
      <c r="E168" s="81"/>
      <c r="F168" s="92" t="s">
        <v>95</v>
      </c>
      <c r="G168" s="62"/>
      <c r="H168" s="46">
        <f>IF('City 13'!$AJ$4&lt;&gt;0,'City 13'!$AJ$4,0)</f>
        <v>0</v>
      </c>
      <c r="I168" s="18"/>
      <c r="J168" s="19"/>
      <c r="K168" s="92" t="s">
        <v>50</v>
      </c>
      <c r="L168" s="62"/>
      <c r="M168" s="46" t="str">
        <f>IF('City 14'!$D$6&lt;&gt;0,'City 14'!$D$6," ")</f>
        <v xml:space="preserve"> </v>
      </c>
      <c r="N168" s="81"/>
      <c r="O168" s="92" t="s">
        <v>95</v>
      </c>
      <c r="P168" s="62"/>
      <c r="Q168" s="46">
        <f>IF('City 14'!$AJ$4&lt;&gt;0,'City 14'!$AJ$4,0)</f>
        <v>0</v>
      </c>
      <c r="R168" s="18"/>
    </row>
    <row r="169" spans="1:18" s="1" customFormat="1" ht="3" customHeight="1" thickBot="1" x14ac:dyDescent="0.3">
      <c r="A169" s="33"/>
      <c r="B169" s="61"/>
      <c r="C169" s="61"/>
      <c r="D169" s="21"/>
      <c r="E169" s="21"/>
      <c r="F169" s="11"/>
      <c r="G169" s="11"/>
      <c r="H169" s="11"/>
      <c r="I169" s="22"/>
      <c r="J169" s="33"/>
      <c r="K169" s="61"/>
      <c r="L169" s="61"/>
      <c r="M169" s="21"/>
      <c r="N169" s="21"/>
      <c r="O169" s="11"/>
      <c r="P169" s="11"/>
      <c r="Q169" s="11"/>
      <c r="R169" s="22"/>
    </row>
    <row r="170" spans="1:18" ht="15.75" thickBot="1" x14ac:dyDescent="0.3">
      <c r="A170" s="19"/>
      <c r="B170" s="92" t="s">
        <v>51</v>
      </c>
      <c r="C170" s="62"/>
      <c r="D170" s="46" t="str">
        <f>IF('City 13'!$T$4&lt;&gt;0,'City 13'!$T$4," ")</f>
        <v xml:space="preserve"> </v>
      </c>
      <c r="E170" s="81"/>
      <c r="F170" s="359" t="s">
        <v>148</v>
      </c>
      <c r="G170" s="417"/>
      <c r="H170" s="417"/>
      <c r="I170" s="18"/>
      <c r="J170" s="19"/>
      <c r="K170" s="92" t="s">
        <v>51</v>
      </c>
      <c r="L170" s="62"/>
      <c r="M170" s="46" t="str">
        <f>IF('City 14'!$T$4&lt;&gt;0,'City 14'!$T$4," ")</f>
        <v xml:space="preserve"> </v>
      </c>
      <c r="N170" s="81"/>
      <c r="O170" s="359" t="s">
        <v>148</v>
      </c>
      <c r="P170" s="417"/>
      <c r="Q170" s="417"/>
      <c r="R170" s="18"/>
    </row>
    <row r="171" spans="1:18" s="1" customFormat="1" ht="3" customHeight="1" thickBot="1" x14ac:dyDescent="0.3">
      <c r="A171" s="33"/>
      <c r="B171" s="62"/>
      <c r="C171" s="62"/>
      <c r="D171" s="21"/>
      <c r="E171" s="21"/>
      <c r="F171" s="5"/>
      <c r="G171" s="11"/>
      <c r="H171" s="5"/>
      <c r="I171" s="22"/>
      <c r="J171" s="33"/>
      <c r="K171" s="62"/>
      <c r="L171" s="62"/>
      <c r="M171" s="21"/>
      <c r="N171" s="21"/>
      <c r="O171" s="5"/>
      <c r="P171" s="11"/>
      <c r="Q171" s="5"/>
      <c r="R171" s="22"/>
    </row>
    <row r="172" spans="1:18" x14ac:dyDescent="0.25">
      <c r="A172" s="19"/>
      <c r="B172" s="359" t="s">
        <v>149</v>
      </c>
      <c r="C172" s="417"/>
      <c r="D172" s="417"/>
      <c r="E172" s="81"/>
      <c r="F172" s="427" t="str">
        <f>IF('City 13'!$D$26&gt;0, 'City 13'!$B$26, (IF('City 13'!$D$36&gt;0, 'City 13'!$B$36, (IF('City 13'!$D$16&gt;0, 'City 13'!$B$36, (IF('City 13'!$AJ$34&gt;0, 'City 13'!$AF$34," ")))))))</f>
        <v xml:space="preserve"> </v>
      </c>
      <c r="G172" s="428"/>
      <c r="H172" s="429"/>
      <c r="I172" s="18"/>
      <c r="J172" s="19"/>
      <c r="K172" s="359" t="s">
        <v>149</v>
      </c>
      <c r="L172" s="417"/>
      <c r="M172" s="417"/>
      <c r="N172" s="81"/>
      <c r="O172" s="427" t="str">
        <f>IF('City 14'!$D$26&gt;0, 'City 14'!$B$26, (IF('City 14'!$D$36&gt;0, 'City 14'!$B$36, (IF('City 14'!$D$16&gt;0, 'City 14'!$B$36, (IF('City 14'!$AJ$34&gt;0, 'City 14'!$AF$34," ")))))))</f>
        <v xml:space="preserve"> </v>
      </c>
      <c r="P172" s="428"/>
      <c r="Q172" s="429"/>
      <c r="R172" s="18"/>
    </row>
    <row r="173" spans="1:18" s="1" customFormat="1" ht="3" customHeight="1" thickBot="1" x14ac:dyDescent="0.3">
      <c r="A173" s="33"/>
      <c r="B173" s="5"/>
      <c r="C173" s="11"/>
      <c r="D173" s="5"/>
      <c r="E173" s="21"/>
      <c r="F173" s="409"/>
      <c r="G173" s="405"/>
      <c r="H173" s="410"/>
      <c r="I173" s="22"/>
      <c r="J173" s="33"/>
      <c r="K173" s="5"/>
      <c r="L173" s="11"/>
      <c r="M173" s="5"/>
      <c r="N173" s="21"/>
      <c r="O173" s="409"/>
      <c r="P173" s="405"/>
      <c r="Q173" s="410"/>
      <c r="R173" s="22"/>
    </row>
    <row r="174" spans="1:18" ht="15.75" thickBot="1" x14ac:dyDescent="0.3">
      <c r="A174" s="19"/>
      <c r="B174" s="92" t="s">
        <v>96</v>
      </c>
      <c r="C174" s="62"/>
      <c r="D174" s="46" t="str">
        <f>IF('City 13'!$AJ$2&lt;&gt;0,'City 13'!$AJ$2," ")</f>
        <v xml:space="preserve"> </v>
      </c>
      <c r="E174" s="81"/>
      <c r="F174" s="409" t="str">
        <f>(IF('City 13'!$D$28&gt;0, 'City 13'!$B$28, (IF('City 13'!$AJ$24&gt;0, 'City 13'!$AF$24, (IF('City 13'!$AJ$14&gt;0, 'City 13'!$AF$14," "))))))</f>
        <v xml:space="preserve"> </v>
      </c>
      <c r="G174" s="405"/>
      <c r="H174" s="410"/>
      <c r="I174" s="18"/>
      <c r="J174" s="19"/>
      <c r="K174" s="92" t="s">
        <v>96</v>
      </c>
      <c r="L174" s="62"/>
      <c r="M174" s="46" t="str">
        <f>IF('City 14'!$AJ$2&lt;&gt;0,'City 14'!$AJ$2," ")</f>
        <v xml:space="preserve"> </v>
      </c>
      <c r="N174" s="81"/>
      <c r="O174" s="409" t="str">
        <f>(IF('City 14'!$D$28&gt;0, 'City 14'!$B$28, (IF('City 14'!$AJ$24&gt;0, 'City 14'!$AF$24, (IF('City 14'!$AJ$14&gt;0, 'City 14'!$AF$14," "))))))</f>
        <v xml:space="preserve"> </v>
      </c>
      <c r="P174" s="405"/>
      <c r="Q174" s="410"/>
      <c r="R174" s="18"/>
    </row>
    <row r="175" spans="1:18" s="1" customFormat="1" ht="3" customHeight="1" thickBot="1" x14ac:dyDescent="0.3">
      <c r="A175" s="33"/>
      <c r="B175" s="5"/>
      <c r="C175" s="11"/>
      <c r="D175" s="5"/>
      <c r="E175" s="45"/>
      <c r="F175" s="409"/>
      <c r="G175" s="405"/>
      <c r="H175" s="410"/>
      <c r="I175" s="22"/>
      <c r="J175" s="33"/>
      <c r="K175" s="5"/>
      <c r="L175" s="11"/>
      <c r="M175" s="5"/>
      <c r="N175" s="45"/>
      <c r="O175" s="409"/>
      <c r="P175" s="405"/>
      <c r="Q175" s="410"/>
      <c r="R175" s="22"/>
    </row>
    <row r="176" spans="1:18" ht="15.75" thickBot="1" x14ac:dyDescent="0.3">
      <c r="A176" s="19"/>
      <c r="B176" s="92" t="s">
        <v>97</v>
      </c>
      <c r="D176" s="46" t="str">
        <f>IF('City 13'!$D$42&lt;&gt;0,'City 13'!$D$42," ")</f>
        <v xml:space="preserve"> </v>
      </c>
      <c r="F176" s="409" t="str">
        <f>(IF('City 13'!$D$14&gt;0, 'City 13'!$B$14, (IF('City 13'!$AJ$28&gt;0, 'City 13'!$AF$28, (IF('City 13'!$AJ$22&gt;0, 'City 13'!$AF$22, (IF('City 13'!$T$18&gt;0, 'City 13'!$P$18, (IF('City 13'!$D$22&gt;0, 'City 13'!$B$22, (IF('City 13'!$T$38&gt;0, 'City 13'!$P$38," "))))))))))))</f>
        <v xml:space="preserve"> </v>
      </c>
      <c r="G176" s="405"/>
      <c r="H176" s="410"/>
      <c r="I176" s="18"/>
      <c r="J176" s="19"/>
      <c r="K176" s="92" t="s">
        <v>97</v>
      </c>
      <c r="M176" s="46" t="str">
        <f>IF('City 14'!$D$42&lt;&gt;0,'City 14'!$D$42," ")</f>
        <v xml:space="preserve"> </v>
      </c>
      <c r="O176" s="409" t="str">
        <f>(IF('City 14'!$D$14&gt;0, 'City 14'!$B$14, (IF('City 14'!$AJ$28&gt;0, 'City 14'!$AF$28, (IF('City 14'!$AJ$22&gt;0, 'City 14'!$AF$22, (IF('City 14'!$T$18&gt;0, 'City 14'!$P$18, (IF('City 14'!$D$22&gt;0, 'City 14'!$B$22, (IF('City 14'!$T$38&gt;0, 'City 14'!$P$38," "))))))))))))</f>
        <v xml:space="preserve"> </v>
      </c>
      <c r="P176" s="405"/>
      <c r="Q176" s="410"/>
      <c r="R176" s="18"/>
    </row>
    <row r="177" spans="1:18" ht="3" customHeight="1" thickBot="1" x14ac:dyDescent="0.3">
      <c r="A177" s="19"/>
      <c r="B177" s="5"/>
      <c r="D177" s="5"/>
      <c r="F177" s="409"/>
      <c r="G177" s="405"/>
      <c r="H177" s="410"/>
      <c r="I177" s="18"/>
      <c r="J177" s="19"/>
      <c r="K177" s="5"/>
      <c r="M177" s="5"/>
      <c r="O177" s="409"/>
      <c r="P177" s="405"/>
      <c r="Q177" s="410"/>
      <c r="R177" s="18"/>
    </row>
    <row r="178" spans="1:18" ht="15.75" thickBot="1" x14ac:dyDescent="0.3">
      <c r="A178" s="19"/>
      <c r="B178" s="92" t="s">
        <v>152</v>
      </c>
      <c r="D178" s="46" t="str">
        <f>IF('City 13'!$T$42&lt;&gt;0,'City 13'!$T$42," ")</f>
        <v xml:space="preserve"> </v>
      </c>
      <c r="F178" s="409" t="str">
        <f>(IF('City 13'!$AJ$36&gt;0,'City 13'!$AF$36,(IF('City 13'!$T$26&gt;0,'City 13'!$P$26,(IF('City 13'!$T$30&gt;0,'City 13'!$P$30,(IF('City 13'!$D$18&gt;0,'City 13'!$B$18,(IF('City 13'!$T$24&gt;0,'City 13'!$P$24,(IF('City 13'!$AJ$12&gt;0,'City 13'!$AF$12," "))))))))))))</f>
        <v xml:space="preserve"> </v>
      </c>
      <c r="G178" s="405"/>
      <c r="H178" s="410"/>
      <c r="I178" s="18"/>
      <c r="J178" s="19"/>
      <c r="K178" s="92" t="s">
        <v>152</v>
      </c>
      <c r="M178" s="46" t="str">
        <f>IF('City 14'!$T$42&lt;&gt;0,'City 14'!$T$42," ")</f>
        <v xml:space="preserve"> </v>
      </c>
      <c r="O178" s="409" t="str">
        <f>(IF('City 14'!$AJ$36&gt;0,'City 14'!$AF$36,(IF('City 14'!$T$26&gt;0,'City 14'!$P$26,(IF('City 14'!$T$30&gt;0,'City 14'!$P$30,(IF('City 14'!$D$18&gt;0,'City 14'!$B$18,(IF('City 14'!$T$24&gt;0,'City 14'!$P$24,(IF('City 14'!$AJ$12&gt;0,'City 14'!$AF$12," "))))))))))))</f>
        <v xml:space="preserve"> </v>
      </c>
      <c r="P178" s="405"/>
      <c r="Q178" s="410"/>
      <c r="R178" s="18"/>
    </row>
    <row r="179" spans="1:18" ht="3" customHeight="1" thickBot="1" x14ac:dyDescent="0.3">
      <c r="A179" s="19"/>
      <c r="B179" s="5"/>
      <c r="D179" s="5"/>
      <c r="F179" s="409"/>
      <c r="G179" s="405"/>
      <c r="H179" s="410"/>
      <c r="I179" s="18"/>
      <c r="J179" s="19"/>
      <c r="K179" s="5"/>
      <c r="M179" s="5"/>
      <c r="O179" s="409"/>
      <c r="P179" s="405"/>
      <c r="Q179" s="410"/>
      <c r="R179" s="18"/>
    </row>
    <row r="180" spans="1:18" ht="15.75" thickBot="1" x14ac:dyDescent="0.3">
      <c r="A180" s="19"/>
      <c r="B180" s="92" t="s">
        <v>98</v>
      </c>
      <c r="D180" s="46" t="str">
        <f>IF('City 13'!$AJ$42&lt;&gt;0,'City 13'!$AJ$42," ")</f>
        <v xml:space="preserve"> </v>
      </c>
      <c r="F180" s="414" t="str">
        <f>(IF('City 13'!$T$12&gt;0,'City 13'!$P$12,(IF('City 13'!$D$20&gt;0,'City 13'!$B$34,(IF('City 13'!$AJ$32&gt;0,'City 13'!$AF$32,(IF('City 13'!$AJ$18&gt;0,'City 13'!$AF$18,(IF('City 13'!$T$14&gt;0,'City 13'!$P$14,(IF('City 13'!$T$32&gt;0,'City 13'!$P$32,(IF('City 13'!$AJ$16&gt;0,'City 13'!$AF$16,(IF('City 13'!$D$20&gt;0,'City 13'!$B$20," "))))))))))))))))</f>
        <v xml:space="preserve"> </v>
      </c>
      <c r="G180" s="415"/>
      <c r="H180" s="416"/>
      <c r="I180" s="18"/>
      <c r="J180" s="19"/>
      <c r="K180" s="92" t="s">
        <v>98</v>
      </c>
      <c r="M180" s="46" t="str">
        <f>IF('City 14'!$AJ$42&lt;&gt;0,'City 14'!$AJ$42," ")</f>
        <v xml:space="preserve"> </v>
      </c>
      <c r="O180" s="414" t="str">
        <f>(IF('City 14'!$T$12&gt;0,'City 14'!$P$12,(IF('City 14'!$D$20&gt;0,'City 14'!$B$34,(IF('City 14'!$AJ$32&gt;0,'City 14'!$AF$32,(IF('City 14'!$AJ$18&gt;0,'City 14'!$AF$18,(IF('City 14'!$T$14&gt;0,'City 14'!$P$14,(IF('City 14'!$T$32&gt;0,'City 14'!$P$32,(IF('City 14'!$AJ$16&gt;0,'City 14'!$AF$16,(IF('City 14'!$D$20&gt;0,'City 14'!$B$20," "))))))))))))))))</f>
        <v xml:space="preserve"> </v>
      </c>
      <c r="P180" s="415"/>
      <c r="Q180" s="416"/>
      <c r="R180" s="18"/>
    </row>
    <row r="181" spans="1:18" ht="3" customHeight="1" x14ac:dyDescent="0.25">
      <c r="A181" s="19"/>
      <c r="B181" s="5"/>
      <c r="D181" s="5"/>
      <c r="F181" s="5"/>
      <c r="H181" s="5"/>
      <c r="I181" s="18"/>
      <c r="J181" s="19"/>
      <c r="K181" s="5"/>
      <c r="M181" s="5"/>
      <c r="O181" s="5"/>
      <c r="Q181" s="5"/>
      <c r="R181" s="18"/>
    </row>
    <row r="182" spans="1:18" x14ac:dyDescent="0.25">
      <c r="A182" s="19"/>
      <c r="B182" s="359" t="s">
        <v>104</v>
      </c>
      <c r="C182" s="417"/>
      <c r="D182" s="417"/>
      <c r="E182" s="405"/>
      <c r="F182" s="405"/>
      <c r="G182" s="405"/>
      <c r="H182" s="405"/>
      <c r="I182" s="18"/>
      <c r="J182" s="19"/>
      <c r="K182" s="359" t="s">
        <v>104</v>
      </c>
      <c r="L182" s="417"/>
      <c r="M182" s="417"/>
      <c r="N182" s="405"/>
      <c r="O182" s="405"/>
      <c r="P182" s="405"/>
      <c r="Q182" s="405"/>
      <c r="R182" s="18"/>
    </row>
    <row r="183" spans="1:18" ht="3" customHeight="1" thickBot="1" x14ac:dyDescent="0.3">
      <c r="A183" s="19"/>
      <c r="B183" s="5"/>
      <c r="D183" s="5"/>
      <c r="F183" s="5"/>
      <c r="H183" s="5"/>
      <c r="I183" s="18"/>
      <c r="J183" s="19"/>
      <c r="K183" s="5"/>
      <c r="M183" s="5"/>
      <c r="O183" s="5"/>
      <c r="Q183" s="5"/>
      <c r="R183" s="18"/>
    </row>
    <row r="184" spans="1:18" x14ac:dyDescent="0.25">
      <c r="A184" s="19"/>
      <c r="B184" s="418" t="str">
        <f>IF('City 13'!$B$58&lt;&gt;0,'City 13'!$B$58," ")</f>
        <v xml:space="preserve"> </v>
      </c>
      <c r="C184" s="419"/>
      <c r="D184" s="419"/>
      <c r="E184" s="419"/>
      <c r="F184" s="419"/>
      <c r="G184" s="419"/>
      <c r="H184" s="420"/>
      <c r="I184" s="18"/>
      <c r="J184" s="19"/>
      <c r="K184" s="418" t="str">
        <f>IF('City 14'!$B$58&lt;&gt;0,'City 14'!$B$58," ")</f>
        <v xml:space="preserve"> </v>
      </c>
      <c r="L184" s="419"/>
      <c r="M184" s="419"/>
      <c r="N184" s="419"/>
      <c r="O184" s="419"/>
      <c r="P184" s="419"/>
      <c r="Q184" s="420"/>
      <c r="R184" s="18"/>
    </row>
    <row r="185" spans="1:18" ht="3" customHeight="1" x14ac:dyDescent="0.25">
      <c r="A185" s="19"/>
      <c r="B185" s="421"/>
      <c r="C185" s="422"/>
      <c r="D185" s="422"/>
      <c r="E185" s="422"/>
      <c r="F185" s="422"/>
      <c r="G185" s="422"/>
      <c r="H185" s="423"/>
      <c r="I185" s="18"/>
      <c r="J185" s="19"/>
      <c r="K185" s="421"/>
      <c r="L185" s="422"/>
      <c r="M185" s="422"/>
      <c r="N185" s="422"/>
      <c r="O185" s="422"/>
      <c r="P185" s="422"/>
      <c r="Q185" s="423"/>
      <c r="R185" s="18"/>
    </row>
    <row r="186" spans="1:18" x14ac:dyDescent="0.25">
      <c r="A186" s="19"/>
      <c r="B186" s="421"/>
      <c r="C186" s="422"/>
      <c r="D186" s="422"/>
      <c r="E186" s="422"/>
      <c r="F186" s="422"/>
      <c r="G186" s="422"/>
      <c r="H186" s="423"/>
      <c r="I186" s="18"/>
      <c r="J186" s="19"/>
      <c r="K186" s="421"/>
      <c r="L186" s="422"/>
      <c r="M186" s="422"/>
      <c r="N186" s="422"/>
      <c r="O186" s="422"/>
      <c r="P186" s="422"/>
      <c r="Q186" s="423"/>
      <c r="R186" s="18"/>
    </row>
    <row r="187" spans="1:18" x14ac:dyDescent="0.25">
      <c r="A187" s="19"/>
      <c r="B187" s="421"/>
      <c r="C187" s="422"/>
      <c r="D187" s="422"/>
      <c r="E187" s="422"/>
      <c r="F187" s="422"/>
      <c r="G187" s="422"/>
      <c r="H187" s="423"/>
      <c r="I187" s="18"/>
      <c r="J187" s="19"/>
      <c r="K187" s="421"/>
      <c r="L187" s="422"/>
      <c r="M187" s="422"/>
      <c r="N187" s="422"/>
      <c r="O187" s="422"/>
      <c r="P187" s="422"/>
      <c r="Q187" s="423"/>
      <c r="R187" s="18"/>
    </row>
    <row r="188" spans="1:18" ht="15.75" thickBot="1" x14ac:dyDescent="0.3">
      <c r="A188" s="19"/>
      <c r="B188" s="424"/>
      <c r="C188" s="425"/>
      <c r="D188" s="425"/>
      <c r="E188" s="425"/>
      <c r="F188" s="425"/>
      <c r="G188" s="425"/>
      <c r="H188" s="426"/>
      <c r="I188" s="18"/>
      <c r="J188" s="19"/>
      <c r="K188" s="424"/>
      <c r="L188" s="425"/>
      <c r="M188" s="425"/>
      <c r="N188" s="425"/>
      <c r="O188" s="425"/>
      <c r="P188" s="425"/>
      <c r="Q188" s="426"/>
      <c r="R188" s="18"/>
    </row>
    <row r="189" spans="1:18" ht="5.0999999999999996" customHeight="1" thickBot="1" x14ac:dyDescent="0.3">
      <c r="A189" s="34"/>
      <c r="B189" s="4"/>
      <c r="C189" s="28"/>
      <c r="D189" s="4"/>
      <c r="E189" s="4"/>
      <c r="F189" s="4"/>
      <c r="G189" s="28"/>
      <c r="H189" s="4"/>
      <c r="I189" s="29"/>
      <c r="J189" s="34"/>
      <c r="K189" s="4"/>
      <c r="L189" s="28"/>
      <c r="M189" s="4"/>
      <c r="N189" s="4"/>
      <c r="O189" s="4"/>
      <c r="P189" s="28"/>
      <c r="Q189" s="4"/>
      <c r="R189" s="29"/>
    </row>
    <row r="190" spans="1:18" ht="5.0999999999999996" customHeight="1" thickBot="1" x14ac:dyDescent="0.3">
      <c r="A190" s="12"/>
      <c r="B190" s="14"/>
      <c r="C190" s="13"/>
      <c r="D190" s="14"/>
      <c r="E190" s="14"/>
      <c r="F190" s="14"/>
      <c r="G190" s="13"/>
      <c r="H190" s="14"/>
      <c r="I190" s="15"/>
      <c r="J190" s="12"/>
      <c r="K190" s="14"/>
      <c r="L190" s="13"/>
      <c r="M190" s="14"/>
      <c r="N190" s="14"/>
      <c r="O190" s="14"/>
      <c r="P190" s="13"/>
      <c r="Q190" s="14"/>
      <c r="R190" s="15"/>
    </row>
    <row r="191" spans="1:18" ht="15.75" thickBot="1" x14ac:dyDescent="0.3">
      <c r="A191" s="19"/>
      <c r="B191" s="69" t="s">
        <v>83</v>
      </c>
      <c r="C191" s="61"/>
      <c r="D191" s="411" t="str">
        <f>IF('City 15'!$D$2&lt;&gt;0,'City 15'!$D$2," ")</f>
        <v xml:space="preserve"> </v>
      </c>
      <c r="E191" s="412"/>
      <c r="F191" s="412"/>
      <c r="G191" s="412"/>
      <c r="H191" s="413"/>
      <c r="I191" s="18"/>
      <c r="J191" s="19"/>
      <c r="K191" s="69" t="s">
        <v>83</v>
      </c>
      <c r="L191" s="61"/>
      <c r="M191" s="411" t="str">
        <f>IF('City 16'!$D$2&lt;&gt;0,'City 16'!$D$2," ")</f>
        <v xml:space="preserve"> </v>
      </c>
      <c r="N191" s="412"/>
      <c r="O191" s="412"/>
      <c r="P191" s="412"/>
      <c r="Q191" s="413"/>
      <c r="R191" s="18"/>
    </row>
    <row r="192" spans="1:18" s="1" customFormat="1" ht="3" customHeight="1" thickBot="1" x14ac:dyDescent="0.3">
      <c r="A192" s="33"/>
      <c r="B192" s="61"/>
      <c r="C192" s="61"/>
      <c r="D192" s="45"/>
      <c r="E192" s="11"/>
      <c r="F192" s="61"/>
      <c r="G192" s="61"/>
      <c r="H192" s="11"/>
      <c r="I192" s="22"/>
      <c r="J192" s="33"/>
      <c r="K192" s="61"/>
      <c r="L192" s="61"/>
      <c r="M192" s="45"/>
      <c r="N192" s="11"/>
      <c r="O192" s="61"/>
      <c r="P192" s="61"/>
      <c r="Q192" s="11"/>
      <c r="R192" s="22"/>
    </row>
    <row r="193" spans="1:18" ht="15.75" thickBot="1" x14ac:dyDescent="0.3">
      <c r="A193" s="19"/>
      <c r="B193" s="92" t="s">
        <v>49</v>
      </c>
      <c r="C193" s="62"/>
      <c r="D193" s="46" t="str">
        <f>IF('City 15'!$D$4&lt;&gt;0,'City 15'!$D$4," ")</f>
        <v xml:space="preserve"> </v>
      </c>
      <c r="E193" s="81"/>
      <c r="F193" s="92" t="s">
        <v>43</v>
      </c>
      <c r="G193" s="62"/>
      <c r="H193" s="46" t="str">
        <f>IF('City 15'!$T$6&lt;&gt;0,'City 15'!$T$6," ")</f>
        <v xml:space="preserve"> </v>
      </c>
      <c r="I193" s="18"/>
      <c r="J193" s="19"/>
      <c r="K193" s="92" t="s">
        <v>49</v>
      </c>
      <c r="L193" s="62"/>
      <c r="M193" s="46" t="str">
        <f>IF('City 16'!$D$4&lt;&gt;0,'City 16'!$D$4," ")</f>
        <v xml:space="preserve"> </v>
      </c>
      <c r="N193" s="81"/>
      <c r="O193" s="92" t="s">
        <v>43</v>
      </c>
      <c r="P193" s="62"/>
      <c r="Q193" s="46" t="str">
        <f>IF('City 16'!$T$6&lt;&gt;0,'City 16'!$T$6," ")</f>
        <v xml:space="preserve"> </v>
      </c>
      <c r="R193" s="18"/>
    </row>
    <row r="194" spans="1:18" s="1" customFormat="1" ht="3" customHeight="1" thickBot="1" x14ac:dyDescent="0.3">
      <c r="A194" s="33"/>
      <c r="B194" s="61"/>
      <c r="C194" s="61"/>
      <c r="D194" s="21"/>
      <c r="E194" s="21"/>
      <c r="F194" s="11"/>
      <c r="G194" s="11"/>
      <c r="H194" s="11"/>
      <c r="I194" s="22"/>
      <c r="J194" s="33"/>
      <c r="K194" s="61"/>
      <c r="L194" s="61"/>
      <c r="M194" s="21"/>
      <c r="N194" s="21"/>
      <c r="O194" s="11"/>
      <c r="P194" s="11"/>
      <c r="Q194" s="11"/>
      <c r="R194" s="22"/>
    </row>
    <row r="195" spans="1:18" ht="15.75" thickBot="1" x14ac:dyDescent="0.3">
      <c r="A195" s="19"/>
      <c r="B195" s="92" t="s">
        <v>50</v>
      </c>
      <c r="C195" s="62"/>
      <c r="D195" s="46" t="str">
        <f>IF('City 15'!$D$6&lt;&gt;0,'City 15'!$D$6," ")</f>
        <v xml:space="preserve"> </v>
      </c>
      <c r="E195" s="81"/>
      <c r="F195" s="92" t="s">
        <v>95</v>
      </c>
      <c r="G195" s="62"/>
      <c r="H195" s="46">
        <f>IF('City 15'!$AJ$4&lt;&gt;0,'City 15'!$AJ$4,0)</f>
        <v>0</v>
      </c>
      <c r="I195" s="18"/>
      <c r="J195" s="19"/>
      <c r="K195" s="92" t="s">
        <v>50</v>
      </c>
      <c r="L195" s="62"/>
      <c r="M195" s="46" t="str">
        <f>IF('City 16'!$D$6&lt;&gt;0,'City 16'!$D$6," ")</f>
        <v xml:space="preserve"> </v>
      </c>
      <c r="N195" s="81"/>
      <c r="O195" s="92" t="s">
        <v>95</v>
      </c>
      <c r="P195" s="62"/>
      <c r="Q195" s="46">
        <f>IF('City 16'!$AJ$4&lt;&gt;0,'City 16'!$AJ$4,0)</f>
        <v>0</v>
      </c>
      <c r="R195" s="18"/>
    </row>
    <row r="196" spans="1:18" s="1" customFormat="1" ht="3" customHeight="1" thickBot="1" x14ac:dyDescent="0.3">
      <c r="A196" s="33"/>
      <c r="B196" s="61"/>
      <c r="C196" s="61"/>
      <c r="D196" s="21"/>
      <c r="E196" s="21"/>
      <c r="F196" s="11"/>
      <c r="G196" s="11"/>
      <c r="H196" s="11"/>
      <c r="I196" s="22"/>
      <c r="J196" s="33"/>
      <c r="K196" s="61"/>
      <c r="L196" s="61"/>
      <c r="M196" s="21"/>
      <c r="N196" s="21"/>
      <c r="O196" s="11"/>
      <c r="P196" s="11"/>
      <c r="Q196" s="11"/>
      <c r="R196" s="22"/>
    </row>
    <row r="197" spans="1:18" ht="15.75" thickBot="1" x14ac:dyDescent="0.3">
      <c r="A197" s="19"/>
      <c r="B197" s="92" t="s">
        <v>51</v>
      </c>
      <c r="C197" s="62"/>
      <c r="D197" s="46" t="str">
        <f>IF('City 15'!$T$4&lt;&gt;0,'City 15'!$T$4," ")</f>
        <v xml:space="preserve"> </v>
      </c>
      <c r="E197" s="81"/>
      <c r="F197" s="359" t="s">
        <v>148</v>
      </c>
      <c r="G197" s="417"/>
      <c r="H197" s="417"/>
      <c r="I197" s="18"/>
      <c r="J197" s="19"/>
      <c r="K197" s="92" t="s">
        <v>51</v>
      </c>
      <c r="L197" s="62"/>
      <c r="M197" s="46" t="str">
        <f>IF('City 16'!$T$4&lt;&gt;0,'City 16'!$T$4," ")</f>
        <v xml:space="preserve"> </v>
      </c>
      <c r="N197" s="81"/>
      <c r="O197" s="359" t="s">
        <v>148</v>
      </c>
      <c r="P197" s="417"/>
      <c r="Q197" s="417"/>
      <c r="R197" s="18"/>
    </row>
    <row r="198" spans="1:18" s="1" customFormat="1" ht="3" customHeight="1" thickBot="1" x14ac:dyDescent="0.3">
      <c r="A198" s="33"/>
      <c r="B198" s="62"/>
      <c r="C198" s="62"/>
      <c r="D198" s="21"/>
      <c r="E198" s="21"/>
      <c r="F198" s="5"/>
      <c r="G198" s="11"/>
      <c r="H198" s="5"/>
      <c r="I198" s="22"/>
      <c r="J198" s="33"/>
      <c r="K198" s="62"/>
      <c r="L198" s="62"/>
      <c r="M198" s="21"/>
      <c r="N198" s="21"/>
      <c r="O198" s="5"/>
      <c r="P198" s="11"/>
      <c r="Q198" s="5"/>
      <c r="R198" s="22"/>
    </row>
    <row r="199" spans="1:18" x14ac:dyDescent="0.25">
      <c r="A199" s="19"/>
      <c r="B199" s="359" t="s">
        <v>149</v>
      </c>
      <c r="C199" s="417"/>
      <c r="D199" s="417"/>
      <c r="E199" s="81"/>
      <c r="F199" s="427" t="str">
        <f>IF('City 15'!$D$26&gt;0, 'City 15'!$B$26, (IF('City 15'!$D$36&gt;0, 'City 15'!$B$36, (IF('City 15'!$D$16&gt;0, 'City 15'!$B$36, (IF('City 15'!$AJ$34&gt;0, 'City 15'!$AF$34," ")))))))</f>
        <v xml:space="preserve"> </v>
      </c>
      <c r="G199" s="428"/>
      <c r="H199" s="429"/>
      <c r="I199" s="18"/>
      <c r="J199" s="19"/>
      <c r="K199" s="359" t="s">
        <v>149</v>
      </c>
      <c r="L199" s="417"/>
      <c r="M199" s="417"/>
      <c r="N199" s="81"/>
      <c r="O199" s="427" t="str">
        <f>IF('City 16'!$D$26&gt;0, 'City 16'!$B$26, (IF('City 16'!$D$36&gt;0, 'City 16'!$B$36, (IF('City 16'!$D$16&gt;0, 'City 16'!$B$36, (IF('City 16'!$AJ$34&gt;0, 'City 16'!$AF$34," ")))))))</f>
        <v xml:space="preserve"> </v>
      </c>
      <c r="P199" s="428"/>
      <c r="Q199" s="429"/>
      <c r="R199" s="18"/>
    </row>
    <row r="200" spans="1:18" s="1" customFormat="1" ht="3" customHeight="1" thickBot="1" x14ac:dyDescent="0.3">
      <c r="A200" s="33"/>
      <c r="B200" s="5"/>
      <c r="C200" s="11"/>
      <c r="D200" s="5"/>
      <c r="E200" s="21"/>
      <c r="F200" s="409"/>
      <c r="G200" s="405"/>
      <c r="H200" s="410"/>
      <c r="I200" s="22"/>
      <c r="J200" s="33"/>
      <c r="K200" s="5"/>
      <c r="L200" s="11"/>
      <c r="M200" s="5"/>
      <c r="N200" s="21"/>
      <c r="O200" s="409"/>
      <c r="P200" s="405"/>
      <c r="Q200" s="410"/>
      <c r="R200" s="22"/>
    </row>
    <row r="201" spans="1:18" ht="15.75" thickBot="1" x14ac:dyDescent="0.3">
      <c r="A201" s="19"/>
      <c r="B201" s="92" t="s">
        <v>96</v>
      </c>
      <c r="C201" s="62"/>
      <c r="D201" s="46" t="str">
        <f>IF('City 15'!$AJ$2&lt;&gt;0,'City 15'!$AJ$2," ")</f>
        <v xml:space="preserve"> </v>
      </c>
      <c r="E201" s="81"/>
      <c r="F201" s="409" t="str">
        <f>(IF('City 15'!$D$28&gt;0, 'City 15'!$B$28, (IF('City 15'!$AJ$24&gt;0, 'City 15'!$AF$24, (IF('City 15'!$AJ$14&gt;0, 'City 15'!$AF$14," "))))))</f>
        <v xml:space="preserve"> </v>
      </c>
      <c r="G201" s="405"/>
      <c r="H201" s="410"/>
      <c r="I201" s="18"/>
      <c r="J201" s="19"/>
      <c r="K201" s="92" t="s">
        <v>96</v>
      </c>
      <c r="L201" s="62"/>
      <c r="M201" s="46" t="str">
        <f>IF('City 16'!$AJ$2&lt;&gt;0,'City 16'!$AJ$2," ")</f>
        <v xml:space="preserve"> </v>
      </c>
      <c r="N201" s="81"/>
      <c r="O201" s="409" t="str">
        <f>(IF('City 16'!$D$28&gt;0, 'City 16'!$B$28, (IF('City 16'!$AJ$24&gt;0, 'City 16'!$AF$24, (IF('City 16'!$AJ$14&gt;0, 'City 16'!$AF$14," "))))))</f>
        <v xml:space="preserve"> </v>
      </c>
      <c r="P201" s="405"/>
      <c r="Q201" s="410"/>
      <c r="R201" s="18"/>
    </row>
    <row r="202" spans="1:18" s="1" customFormat="1" ht="3" customHeight="1" thickBot="1" x14ac:dyDescent="0.3">
      <c r="A202" s="33"/>
      <c r="B202" s="5"/>
      <c r="C202" s="11"/>
      <c r="D202" s="5"/>
      <c r="E202" s="45"/>
      <c r="F202" s="409"/>
      <c r="G202" s="405"/>
      <c r="H202" s="410"/>
      <c r="I202" s="22"/>
      <c r="J202" s="33"/>
      <c r="K202" s="5"/>
      <c r="L202" s="11"/>
      <c r="M202" s="5"/>
      <c r="N202" s="45"/>
      <c r="O202" s="409"/>
      <c r="P202" s="405"/>
      <c r="Q202" s="410"/>
      <c r="R202" s="22"/>
    </row>
    <row r="203" spans="1:18" ht="15.75" thickBot="1" x14ac:dyDescent="0.3">
      <c r="A203" s="19"/>
      <c r="B203" s="92" t="s">
        <v>97</v>
      </c>
      <c r="D203" s="46" t="str">
        <f>IF('City 15'!$D$42&lt;&gt;0,'City 15'!$D$42," ")</f>
        <v xml:space="preserve"> </v>
      </c>
      <c r="F203" s="409" t="str">
        <f>(IF('City 15'!$D$14&gt;0, 'City 15'!$B$14, (IF('City 15'!$AJ$28&gt;0, 'City 15'!$AF$28, (IF('City 15'!$AJ$22&gt;0, 'City 15'!$AF$22, (IF('City 15'!$T$18&gt;0, 'City 15'!$P$18, (IF('City 15'!$D$22&gt;0, 'City 15'!$B$22, (IF('City 15'!$T$38&gt;0, 'City 15'!$P$38," "))))))))))))</f>
        <v xml:space="preserve"> </v>
      </c>
      <c r="G203" s="405"/>
      <c r="H203" s="410"/>
      <c r="I203" s="18"/>
      <c r="J203" s="19"/>
      <c r="K203" s="92" t="s">
        <v>97</v>
      </c>
      <c r="M203" s="46" t="str">
        <f>IF('City 16'!$D$42&lt;&gt;0,'City 16'!$D$42," ")</f>
        <v xml:space="preserve"> </v>
      </c>
      <c r="O203" s="409" t="str">
        <f>(IF('City 16'!$D$14&gt;0, 'City 16'!$B$14, (IF('City 16'!$AJ$28&gt;0, 'City 16'!$AF$28, (IF('City 16'!$AJ$22&gt;0, 'City 16'!$AF$22, (IF('City 16'!$T$18&gt;0, 'City 16'!$P$18, (IF('City 16'!$D$22&gt;0, 'City 16'!$B$22, (IF('City 16'!$T$38&gt;0, 'City 16'!$P$38," "))))))))))))</f>
        <v xml:space="preserve"> </v>
      </c>
      <c r="P203" s="405"/>
      <c r="Q203" s="410"/>
      <c r="R203" s="18"/>
    </row>
    <row r="204" spans="1:18" ht="3" customHeight="1" thickBot="1" x14ac:dyDescent="0.3">
      <c r="A204" s="19"/>
      <c r="B204" s="5"/>
      <c r="D204" s="5"/>
      <c r="F204" s="409"/>
      <c r="G204" s="405"/>
      <c r="H204" s="410"/>
      <c r="I204" s="18"/>
      <c r="J204" s="19"/>
      <c r="K204" s="5"/>
      <c r="M204" s="5"/>
      <c r="O204" s="409"/>
      <c r="P204" s="405"/>
      <c r="Q204" s="410"/>
      <c r="R204" s="18"/>
    </row>
    <row r="205" spans="1:18" ht="15.75" thickBot="1" x14ac:dyDescent="0.3">
      <c r="A205" s="19"/>
      <c r="B205" s="92" t="s">
        <v>152</v>
      </c>
      <c r="D205" s="46" t="str">
        <f>IF('City 15'!$T$42&lt;&gt;0,'City 15'!$T$42," ")</f>
        <v xml:space="preserve"> </v>
      </c>
      <c r="F205" s="409" t="str">
        <f>(IF('City 15'!$AJ$36&gt;0,'City 15'!$AF$36,(IF('City 15'!$T$26&gt;0,'City 15'!$P$26,(IF('City 15'!$T$30&gt;0,'City 15'!$P$30,(IF('City 15'!$D$18&gt;0,'City 15'!$B$18,(IF('City 15'!$T$24&gt;0,'City 15'!$P$24,(IF('City 15'!$AJ$12&gt;0,'City 15'!$AF$12," "))))))))))))</f>
        <v xml:space="preserve"> </v>
      </c>
      <c r="G205" s="405"/>
      <c r="H205" s="410"/>
      <c r="I205" s="18"/>
      <c r="J205" s="19"/>
      <c r="K205" s="92" t="s">
        <v>152</v>
      </c>
      <c r="M205" s="46" t="str">
        <f>IF('City 16'!$T$42&lt;&gt;0,'City 16'!$T$42," ")</f>
        <v xml:space="preserve"> </v>
      </c>
      <c r="O205" s="409" t="str">
        <f>(IF('City 16'!$AJ$36&gt;0,'City 16'!$AF$36,(IF('City 16'!$T$26&gt;0,'City 16'!$P$26,(IF('City 16'!$T$30&gt;0,'City 16'!$P$30,(IF('City 16'!$D$18&gt;0,'City 16'!$B$18,(IF('City 16'!$T$24&gt;0,'City 16'!$P$24,(IF('City 16'!$AJ$12&gt;0,'City 16'!$AF$12," "))))))))))))</f>
        <v xml:space="preserve"> </v>
      </c>
      <c r="P205" s="405"/>
      <c r="Q205" s="410"/>
      <c r="R205" s="18"/>
    </row>
    <row r="206" spans="1:18" ht="3" customHeight="1" thickBot="1" x14ac:dyDescent="0.3">
      <c r="A206" s="19"/>
      <c r="B206" s="5"/>
      <c r="D206" s="5"/>
      <c r="F206" s="409"/>
      <c r="G206" s="405"/>
      <c r="H206" s="410"/>
      <c r="I206" s="18"/>
      <c r="J206" s="19"/>
      <c r="K206" s="5"/>
      <c r="M206" s="5"/>
      <c r="O206" s="409"/>
      <c r="P206" s="405"/>
      <c r="Q206" s="410"/>
      <c r="R206" s="18"/>
    </row>
    <row r="207" spans="1:18" ht="15.75" thickBot="1" x14ac:dyDescent="0.3">
      <c r="A207" s="19"/>
      <c r="B207" s="92" t="s">
        <v>98</v>
      </c>
      <c r="D207" s="46" t="str">
        <f>IF('City 15'!$AJ$42&lt;&gt;0,'City 15'!$AJ$42," ")</f>
        <v xml:space="preserve"> </v>
      </c>
      <c r="F207" s="414" t="str">
        <f>(IF('City 15'!$T$12&gt;0,'City 15'!$P$12,(IF('City 15'!$D$20&gt;0,'City 15'!$B$34,(IF('City 15'!$AJ$32&gt;0,'City 15'!$AF$32,(IF('City 15'!$AJ$18&gt;0,'City 15'!$AF$18,(IF('City 15'!$T$14&gt;0,'City 15'!$P$14,(IF('City 15'!$T$32&gt;0,'City 15'!$P$32,(IF('City 15'!$AJ$16&gt;0,'City 15'!$AF$16,(IF('City 15'!$D$20&gt;0,'City 15'!$B$20," "))))))))))))))))</f>
        <v xml:space="preserve"> </v>
      </c>
      <c r="G207" s="415"/>
      <c r="H207" s="416"/>
      <c r="I207" s="18"/>
      <c r="J207" s="19"/>
      <c r="K207" s="92" t="s">
        <v>98</v>
      </c>
      <c r="M207" s="46" t="str">
        <f>IF('City 16'!$AJ$42&lt;&gt;0,'City 16'!$AJ$42," ")</f>
        <v xml:space="preserve"> </v>
      </c>
      <c r="O207" s="414" t="str">
        <f>(IF('City 16'!$T$12&gt;0,'City 16'!$P$12,(IF('City 16'!$D$20&gt;0,'City 16'!$B$34,(IF('City 16'!$AJ$32&gt;0,'City 16'!$AF$32,(IF('City 16'!$AJ$18&gt;0,'City 16'!$AF$18,(IF('City 16'!$T$14&gt;0,'City 16'!$P$14,(IF('City 16'!$T$32&gt;0,'City 16'!$P$32,(IF('City 16'!$AJ$16&gt;0,'City 16'!$AF$16,(IF('City 16'!$D$20&gt;0,'City 16'!$B$20," "))))))))))))))))</f>
        <v xml:space="preserve"> </v>
      </c>
      <c r="P207" s="415"/>
      <c r="Q207" s="416"/>
      <c r="R207" s="18"/>
    </row>
    <row r="208" spans="1:18" ht="3" customHeight="1" x14ac:dyDescent="0.25">
      <c r="A208" s="19"/>
      <c r="B208" s="5"/>
      <c r="D208" s="5"/>
      <c r="F208" s="5"/>
      <c r="H208" s="5"/>
      <c r="I208" s="18"/>
      <c r="J208" s="19"/>
      <c r="K208" s="5"/>
      <c r="M208" s="5"/>
      <c r="O208" s="5"/>
      <c r="Q208" s="5"/>
      <c r="R208" s="18"/>
    </row>
    <row r="209" spans="1:18" x14ac:dyDescent="0.25">
      <c r="A209" s="19"/>
      <c r="B209" s="359" t="s">
        <v>104</v>
      </c>
      <c r="C209" s="417"/>
      <c r="D209" s="417"/>
      <c r="E209" s="405"/>
      <c r="F209" s="405"/>
      <c r="G209" s="405"/>
      <c r="H209" s="405"/>
      <c r="I209" s="18"/>
      <c r="J209" s="19"/>
      <c r="K209" s="359" t="s">
        <v>104</v>
      </c>
      <c r="L209" s="417"/>
      <c r="M209" s="417"/>
      <c r="N209" s="405"/>
      <c r="O209" s="405"/>
      <c r="P209" s="405"/>
      <c r="Q209" s="405"/>
      <c r="R209" s="18"/>
    </row>
    <row r="210" spans="1:18" ht="3" customHeight="1" thickBot="1" x14ac:dyDescent="0.3">
      <c r="A210" s="19"/>
      <c r="B210" s="5"/>
      <c r="D210" s="5"/>
      <c r="F210" s="5"/>
      <c r="H210" s="5"/>
      <c r="I210" s="18"/>
      <c r="J210" s="19"/>
      <c r="K210" s="5"/>
      <c r="M210" s="5"/>
      <c r="O210" s="5"/>
      <c r="Q210" s="5"/>
      <c r="R210" s="18"/>
    </row>
    <row r="211" spans="1:18" x14ac:dyDescent="0.25">
      <c r="A211" s="19"/>
      <c r="B211" s="418" t="str">
        <f>IF('City 15'!$B$58&lt;&gt;0,'City 15'!$B$58," ")</f>
        <v xml:space="preserve"> </v>
      </c>
      <c r="C211" s="419"/>
      <c r="D211" s="419"/>
      <c r="E211" s="419"/>
      <c r="F211" s="419"/>
      <c r="G211" s="419"/>
      <c r="H211" s="420"/>
      <c r="I211" s="18"/>
      <c r="J211" s="19"/>
      <c r="K211" s="418" t="str">
        <f>IF('City 16'!$B$58&lt;&gt;0,'City 16'!$B$58," ")</f>
        <v xml:space="preserve"> </v>
      </c>
      <c r="L211" s="419"/>
      <c r="M211" s="419"/>
      <c r="N211" s="419"/>
      <c r="O211" s="419"/>
      <c r="P211" s="419"/>
      <c r="Q211" s="420"/>
      <c r="R211" s="18"/>
    </row>
    <row r="212" spans="1:18" ht="3" customHeight="1" x14ac:dyDescent="0.25">
      <c r="A212" s="19"/>
      <c r="B212" s="421"/>
      <c r="C212" s="422"/>
      <c r="D212" s="422"/>
      <c r="E212" s="422"/>
      <c r="F212" s="422"/>
      <c r="G212" s="422"/>
      <c r="H212" s="423"/>
      <c r="I212" s="18"/>
      <c r="J212" s="19"/>
      <c r="K212" s="421"/>
      <c r="L212" s="422"/>
      <c r="M212" s="422"/>
      <c r="N212" s="422"/>
      <c r="O212" s="422"/>
      <c r="P212" s="422"/>
      <c r="Q212" s="423"/>
      <c r="R212" s="18"/>
    </row>
    <row r="213" spans="1:18" x14ac:dyDescent="0.25">
      <c r="A213" s="19"/>
      <c r="B213" s="421"/>
      <c r="C213" s="422"/>
      <c r="D213" s="422"/>
      <c r="E213" s="422"/>
      <c r="F213" s="422"/>
      <c r="G213" s="422"/>
      <c r="H213" s="423"/>
      <c r="I213" s="18"/>
      <c r="J213" s="19"/>
      <c r="K213" s="421"/>
      <c r="L213" s="422"/>
      <c r="M213" s="422"/>
      <c r="N213" s="422"/>
      <c r="O213" s="422"/>
      <c r="P213" s="422"/>
      <c r="Q213" s="423"/>
      <c r="R213" s="18"/>
    </row>
    <row r="214" spans="1:18" x14ac:dyDescent="0.25">
      <c r="A214" s="19"/>
      <c r="B214" s="421"/>
      <c r="C214" s="422"/>
      <c r="D214" s="422"/>
      <c r="E214" s="422"/>
      <c r="F214" s="422"/>
      <c r="G214" s="422"/>
      <c r="H214" s="423"/>
      <c r="I214" s="18"/>
      <c r="J214" s="19"/>
      <c r="K214" s="421"/>
      <c r="L214" s="422"/>
      <c r="M214" s="422"/>
      <c r="N214" s="422"/>
      <c r="O214" s="422"/>
      <c r="P214" s="422"/>
      <c r="Q214" s="423"/>
      <c r="R214" s="18"/>
    </row>
    <row r="215" spans="1:18" ht="15.75" thickBot="1" x14ac:dyDescent="0.3">
      <c r="A215" s="19"/>
      <c r="B215" s="424"/>
      <c r="C215" s="425"/>
      <c r="D215" s="425"/>
      <c r="E215" s="425"/>
      <c r="F215" s="425"/>
      <c r="G215" s="425"/>
      <c r="H215" s="426"/>
      <c r="I215" s="18"/>
      <c r="J215" s="19"/>
      <c r="K215" s="424"/>
      <c r="L215" s="425"/>
      <c r="M215" s="425"/>
      <c r="N215" s="425"/>
      <c r="O215" s="425"/>
      <c r="P215" s="425"/>
      <c r="Q215" s="426"/>
      <c r="R215" s="18"/>
    </row>
    <row r="216" spans="1:18" ht="5.0999999999999996" customHeight="1" thickBot="1" x14ac:dyDescent="0.3">
      <c r="A216" s="34"/>
      <c r="B216" s="4"/>
      <c r="C216" s="28"/>
      <c r="D216" s="4"/>
      <c r="E216" s="4"/>
      <c r="F216" s="4"/>
      <c r="G216" s="28"/>
      <c r="H216" s="4"/>
      <c r="I216" s="29"/>
      <c r="J216" s="34"/>
      <c r="K216" s="4"/>
      <c r="L216" s="28"/>
      <c r="M216" s="4"/>
      <c r="N216" s="4"/>
      <c r="O216" s="4"/>
      <c r="P216" s="28"/>
      <c r="Q216" s="4"/>
      <c r="R216" s="29"/>
    </row>
    <row r="217" spans="1:18" ht="5.0999999999999996" customHeight="1" thickBot="1" x14ac:dyDescent="0.3">
      <c r="A217" s="12"/>
      <c r="B217" s="14"/>
      <c r="C217" s="13"/>
      <c r="D217" s="14"/>
      <c r="E217" s="14"/>
      <c r="F217" s="14"/>
      <c r="G217" s="13"/>
      <c r="H217" s="14"/>
      <c r="I217" s="15"/>
      <c r="J217" s="12"/>
      <c r="K217" s="14"/>
      <c r="L217" s="13"/>
      <c r="M217" s="14"/>
      <c r="N217" s="14"/>
      <c r="O217" s="14"/>
      <c r="P217" s="13"/>
      <c r="Q217" s="14"/>
      <c r="R217" s="15"/>
    </row>
    <row r="218" spans="1:18" ht="15.75" thickBot="1" x14ac:dyDescent="0.3">
      <c r="A218" s="19"/>
      <c r="B218" s="69" t="s">
        <v>83</v>
      </c>
      <c r="C218" s="61"/>
      <c r="D218" s="411" t="str">
        <f>IF('City 17'!$D$2&lt;&gt;0,'City 17'!$D$2," ")</f>
        <v xml:space="preserve"> </v>
      </c>
      <c r="E218" s="412"/>
      <c r="F218" s="412"/>
      <c r="G218" s="412"/>
      <c r="H218" s="413"/>
      <c r="I218" s="18"/>
      <c r="J218" s="19"/>
      <c r="K218" s="69" t="s">
        <v>83</v>
      </c>
      <c r="L218" s="61"/>
      <c r="M218" s="411" t="str">
        <f>IF('City 18'!$D$2&lt;&gt;0,'City 18'!$D$2," ")</f>
        <v xml:space="preserve"> </v>
      </c>
      <c r="N218" s="412"/>
      <c r="O218" s="412"/>
      <c r="P218" s="412"/>
      <c r="Q218" s="413"/>
      <c r="R218" s="18"/>
    </row>
    <row r="219" spans="1:18" s="1" customFormat="1" ht="3" customHeight="1" thickBot="1" x14ac:dyDescent="0.3">
      <c r="A219" s="33"/>
      <c r="B219" s="61"/>
      <c r="C219" s="61"/>
      <c r="D219" s="45"/>
      <c r="E219" s="11"/>
      <c r="F219" s="61"/>
      <c r="G219" s="61"/>
      <c r="H219" s="11"/>
      <c r="I219" s="22"/>
      <c r="J219" s="33"/>
      <c r="K219" s="61"/>
      <c r="L219" s="61"/>
      <c r="M219" s="45"/>
      <c r="N219" s="11"/>
      <c r="O219" s="61"/>
      <c r="P219" s="61"/>
      <c r="Q219" s="11"/>
      <c r="R219" s="22"/>
    </row>
    <row r="220" spans="1:18" ht="15.75" thickBot="1" x14ac:dyDescent="0.3">
      <c r="A220" s="19"/>
      <c r="B220" s="92" t="s">
        <v>49</v>
      </c>
      <c r="C220" s="62"/>
      <c r="D220" s="46" t="str">
        <f>IF('City 17'!$D$4&lt;&gt;0,'City 17'!$D$4," ")</f>
        <v xml:space="preserve"> </v>
      </c>
      <c r="E220" s="81"/>
      <c r="F220" s="92" t="s">
        <v>43</v>
      </c>
      <c r="G220" s="62"/>
      <c r="H220" s="46" t="str">
        <f>IF('City 17'!$T$6&lt;&gt;0,'City 17'!$T$6," ")</f>
        <v xml:space="preserve"> </v>
      </c>
      <c r="I220" s="18"/>
      <c r="J220" s="19"/>
      <c r="K220" s="92" t="s">
        <v>49</v>
      </c>
      <c r="L220" s="62"/>
      <c r="M220" s="46" t="str">
        <f>IF('City 18'!$D$4&lt;&gt;0,'City 18'!$D$4," ")</f>
        <v xml:space="preserve"> </v>
      </c>
      <c r="N220" s="81"/>
      <c r="O220" s="92" t="s">
        <v>43</v>
      </c>
      <c r="P220" s="62"/>
      <c r="Q220" s="46" t="str">
        <f>IF('City 18'!$T$6&lt;&gt;0,'City 18'!$T$6," ")</f>
        <v xml:space="preserve"> </v>
      </c>
      <c r="R220" s="18"/>
    </row>
    <row r="221" spans="1:18" s="1" customFormat="1" ht="3" customHeight="1" thickBot="1" x14ac:dyDescent="0.3">
      <c r="A221" s="33"/>
      <c r="B221" s="61"/>
      <c r="C221" s="61"/>
      <c r="D221" s="21"/>
      <c r="E221" s="21"/>
      <c r="F221" s="11"/>
      <c r="G221" s="11"/>
      <c r="H221" s="11"/>
      <c r="I221" s="22"/>
      <c r="J221" s="33"/>
      <c r="K221" s="61"/>
      <c r="L221" s="61"/>
      <c r="M221" s="21"/>
      <c r="N221" s="21"/>
      <c r="O221" s="11"/>
      <c r="P221" s="11"/>
      <c r="Q221" s="11"/>
      <c r="R221" s="22"/>
    </row>
    <row r="222" spans="1:18" ht="15.75" thickBot="1" x14ac:dyDescent="0.3">
      <c r="A222" s="19"/>
      <c r="B222" s="92" t="s">
        <v>50</v>
      </c>
      <c r="C222" s="62"/>
      <c r="D222" s="46" t="str">
        <f>IF('City 17'!$D$6&lt;&gt;0,'City 17'!$D$6," ")</f>
        <v xml:space="preserve"> </v>
      </c>
      <c r="E222" s="81"/>
      <c r="F222" s="92" t="s">
        <v>95</v>
      </c>
      <c r="G222" s="62"/>
      <c r="H222" s="46">
        <f>IF('City 17'!$AJ$4&lt;&gt;0,'City 17'!$AJ$4,0)</f>
        <v>0</v>
      </c>
      <c r="I222" s="18"/>
      <c r="J222" s="19"/>
      <c r="K222" s="92" t="s">
        <v>50</v>
      </c>
      <c r="L222" s="62"/>
      <c r="M222" s="46" t="str">
        <f>IF('City 18'!$D$6&lt;&gt;0,'City 18'!$D$6," ")</f>
        <v xml:space="preserve"> </v>
      </c>
      <c r="N222" s="81"/>
      <c r="O222" s="92" t="s">
        <v>95</v>
      </c>
      <c r="P222" s="62"/>
      <c r="Q222" s="46">
        <f>IF('City 18'!$AJ$4&lt;&gt;0,'City 18'!$AJ$4,0)</f>
        <v>0</v>
      </c>
      <c r="R222" s="18"/>
    </row>
    <row r="223" spans="1:18" s="1" customFormat="1" ht="3" customHeight="1" thickBot="1" x14ac:dyDescent="0.3">
      <c r="A223" s="33"/>
      <c r="B223" s="61"/>
      <c r="C223" s="61"/>
      <c r="D223" s="21"/>
      <c r="E223" s="21"/>
      <c r="F223" s="11"/>
      <c r="G223" s="11"/>
      <c r="H223" s="11"/>
      <c r="I223" s="22"/>
      <c r="J223" s="33"/>
      <c r="K223" s="61"/>
      <c r="L223" s="61"/>
      <c r="M223" s="21"/>
      <c r="N223" s="21"/>
      <c r="O223" s="11"/>
      <c r="P223" s="11"/>
      <c r="Q223" s="11"/>
      <c r="R223" s="22"/>
    </row>
    <row r="224" spans="1:18" ht="15.75" thickBot="1" x14ac:dyDescent="0.3">
      <c r="A224" s="19"/>
      <c r="B224" s="92" t="s">
        <v>51</v>
      </c>
      <c r="C224" s="62"/>
      <c r="D224" s="46" t="str">
        <f>IF('City 17'!$T$4&lt;&gt;0,'City 17'!$T$4," ")</f>
        <v xml:space="preserve"> </v>
      </c>
      <c r="E224" s="81"/>
      <c r="F224" s="359" t="s">
        <v>148</v>
      </c>
      <c r="G224" s="417"/>
      <c r="H224" s="417"/>
      <c r="I224" s="18"/>
      <c r="J224" s="19"/>
      <c r="K224" s="92" t="s">
        <v>51</v>
      </c>
      <c r="L224" s="62"/>
      <c r="M224" s="46" t="str">
        <f>IF('City 18'!$T$4&lt;&gt;0,'City 18'!$T$4," ")</f>
        <v xml:space="preserve"> </v>
      </c>
      <c r="N224" s="81"/>
      <c r="O224" s="359" t="s">
        <v>148</v>
      </c>
      <c r="P224" s="417"/>
      <c r="Q224" s="417"/>
      <c r="R224" s="18"/>
    </row>
    <row r="225" spans="1:18" s="1" customFormat="1" ht="3" customHeight="1" thickBot="1" x14ac:dyDescent="0.3">
      <c r="A225" s="33"/>
      <c r="B225" s="62"/>
      <c r="C225" s="62"/>
      <c r="D225" s="21"/>
      <c r="E225" s="21"/>
      <c r="F225" s="5"/>
      <c r="G225" s="11"/>
      <c r="H225" s="5"/>
      <c r="I225" s="22"/>
      <c r="J225" s="33"/>
      <c r="K225" s="62"/>
      <c r="L225" s="62"/>
      <c r="M225" s="21"/>
      <c r="N225" s="21"/>
      <c r="O225" s="5"/>
      <c r="P225" s="11"/>
      <c r="Q225" s="5"/>
      <c r="R225" s="22"/>
    </row>
    <row r="226" spans="1:18" x14ac:dyDescent="0.25">
      <c r="A226" s="19"/>
      <c r="B226" s="359" t="s">
        <v>149</v>
      </c>
      <c r="C226" s="417"/>
      <c r="D226" s="417"/>
      <c r="E226" s="81"/>
      <c r="F226" s="427" t="str">
        <f>IF('City 17'!$D$26&gt;0, 'City 17'!$B$26, (IF('City 17'!$D$36&gt;0, 'City 17'!$B$36, (IF('City 17'!$D$16&gt;0, 'City 17'!$B$36, (IF('City 17'!$AJ$34&gt;0, 'City 17'!$AF$34," ")))))))</f>
        <v xml:space="preserve"> </v>
      </c>
      <c r="G226" s="428"/>
      <c r="H226" s="429"/>
      <c r="I226" s="18"/>
      <c r="J226" s="19"/>
      <c r="K226" s="359" t="s">
        <v>149</v>
      </c>
      <c r="L226" s="417"/>
      <c r="M226" s="417"/>
      <c r="N226" s="81"/>
      <c r="O226" s="427" t="str">
        <f>IF('City 18'!$D$26&gt;0, 'City 18'!$B$26, (IF('City 18'!$D$36&gt;0, 'City 18'!$B$36, (IF('City 18'!$D$16&gt;0, 'City 18'!$B$36, (IF('City 18'!$AJ$34&gt;0, 'City 18'!$AF$34," ")))))))</f>
        <v xml:space="preserve"> </v>
      </c>
      <c r="P226" s="428"/>
      <c r="Q226" s="429"/>
      <c r="R226" s="18"/>
    </row>
    <row r="227" spans="1:18" s="1" customFormat="1" ht="3" customHeight="1" thickBot="1" x14ac:dyDescent="0.3">
      <c r="A227" s="33"/>
      <c r="B227" s="5"/>
      <c r="C227" s="11"/>
      <c r="D227" s="5"/>
      <c r="E227" s="21"/>
      <c r="F227" s="409"/>
      <c r="G227" s="405"/>
      <c r="H227" s="410"/>
      <c r="I227" s="22"/>
      <c r="J227" s="33"/>
      <c r="K227" s="5"/>
      <c r="L227" s="11"/>
      <c r="M227" s="5"/>
      <c r="N227" s="21"/>
      <c r="O227" s="409"/>
      <c r="P227" s="405"/>
      <c r="Q227" s="410"/>
      <c r="R227" s="22"/>
    </row>
    <row r="228" spans="1:18" ht="15.75" thickBot="1" x14ac:dyDescent="0.3">
      <c r="A228" s="19"/>
      <c r="B228" s="92" t="s">
        <v>96</v>
      </c>
      <c r="C228" s="62"/>
      <c r="D228" s="46" t="str">
        <f>IF('City 17'!$AJ$2&lt;&gt;0,'City 17'!$AJ$2," ")</f>
        <v xml:space="preserve"> </v>
      </c>
      <c r="E228" s="81"/>
      <c r="F228" s="409" t="str">
        <f>(IF('City 17'!$D$28&gt;0, 'City 17'!$B$28, (IF('City 17'!$AJ$24&gt;0, 'City 17'!$AF$24, (IF('City 17'!$AJ$14&gt;0, 'City 17'!$AF$14," "))))))</f>
        <v xml:space="preserve"> </v>
      </c>
      <c r="G228" s="405"/>
      <c r="H228" s="410"/>
      <c r="I228" s="18"/>
      <c r="J228" s="19"/>
      <c r="K228" s="92" t="s">
        <v>96</v>
      </c>
      <c r="L228" s="62"/>
      <c r="M228" s="46" t="str">
        <f>IF('City 18'!$AJ$2&lt;&gt;0,'City 18'!$AJ$2," ")</f>
        <v xml:space="preserve"> </v>
      </c>
      <c r="N228" s="81"/>
      <c r="O228" s="409" t="str">
        <f>(IF('City 18'!$D$28&gt;0, 'City 18'!$B$28, (IF('City 18'!$AJ$24&gt;0, 'City 18'!$AF$24, (IF('City 18'!$AJ$14&gt;0, 'City 18'!$AF$14," "))))))</f>
        <v xml:space="preserve"> </v>
      </c>
      <c r="P228" s="405"/>
      <c r="Q228" s="410"/>
      <c r="R228" s="18"/>
    </row>
    <row r="229" spans="1:18" s="1" customFormat="1" ht="3" customHeight="1" thickBot="1" x14ac:dyDescent="0.3">
      <c r="A229" s="33"/>
      <c r="B229" s="5"/>
      <c r="C229" s="11"/>
      <c r="D229" s="5"/>
      <c r="E229" s="45"/>
      <c r="F229" s="409"/>
      <c r="G229" s="405"/>
      <c r="H229" s="410"/>
      <c r="I229" s="22"/>
      <c r="J229" s="33"/>
      <c r="K229" s="5"/>
      <c r="L229" s="11"/>
      <c r="M229" s="5"/>
      <c r="N229" s="45"/>
      <c r="O229" s="409"/>
      <c r="P229" s="405"/>
      <c r="Q229" s="410"/>
      <c r="R229" s="22"/>
    </row>
    <row r="230" spans="1:18" ht="15.75" thickBot="1" x14ac:dyDescent="0.3">
      <c r="A230" s="19"/>
      <c r="B230" s="92" t="s">
        <v>97</v>
      </c>
      <c r="D230" s="46" t="str">
        <f>IF('City 17'!$D$42&lt;&gt;0,'City 17'!$D$42," ")</f>
        <v xml:space="preserve"> </v>
      </c>
      <c r="F230" s="409" t="str">
        <f>(IF('City 17'!$D$14&gt;0, 'City 17'!$B$14, (IF('City 17'!$AJ$28&gt;0, 'City 17'!$AF$28, (IF('City 17'!$AJ$22&gt;0, 'City 17'!$AF$22, (IF('City 17'!$T$18&gt;0, 'City 17'!$P$18, (IF('City 17'!$D$22&gt;0, 'City 17'!$B$22, (IF('City 17'!$T$38&gt;0, 'City 17'!$P$38," "))))))))))))</f>
        <v xml:space="preserve"> </v>
      </c>
      <c r="G230" s="405"/>
      <c r="H230" s="410"/>
      <c r="I230" s="18"/>
      <c r="J230" s="19"/>
      <c r="K230" s="92" t="s">
        <v>97</v>
      </c>
      <c r="M230" s="46" t="str">
        <f>IF('City 18'!$D$42&lt;&gt;0,'City 18'!$D$42," ")</f>
        <v xml:space="preserve"> </v>
      </c>
      <c r="O230" s="409" t="str">
        <f>(IF('City 18'!$D$14&gt;0, 'City 18'!$B$14, (IF('City 18'!$AJ$28&gt;0, 'City 18'!$AF$28, (IF('City 18'!$AJ$22&gt;0, 'City 18'!$AF$22, (IF('City 18'!$T$18&gt;0, 'City 18'!$P$18, (IF('City 18'!$D$22&gt;0, 'City 18'!$B$22, (IF('City 18'!$T$38&gt;0, 'City 18'!$P$38," "))))))))))))</f>
        <v xml:space="preserve"> </v>
      </c>
      <c r="P230" s="405"/>
      <c r="Q230" s="410"/>
      <c r="R230" s="18"/>
    </row>
    <row r="231" spans="1:18" ht="3" customHeight="1" thickBot="1" x14ac:dyDescent="0.3">
      <c r="A231" s="19"/>
      <c r="B231" s="5"/>
      <c r="D231" s="5"/>
      <c r="F231" s="409"/>
      <c r="G231" s="405"/>
      <c r="H231" s="410"/>
      <c r="I231" s="18"/>
      <c r="J231" s="19"/>
      <c r="K231" s="5"/>
      <c r="M231" s="5"/>
      <c r="O231" s="409"/>
      <c r="P231" s="405"/>
      <c r="Q231" s="410"/>
      <c r="R231" s="18"/>
    </row>
    <row r="232" spans="1:18" ht="15.75" thickBot="1" x14ac:dyDescent="0.3">
      <c r="A232" s="19"/>
      <c r="B232" s="92" t="s">
        <v>152</v>
      </c>
      <c r="D232" s="46" t="str">
        <f>IF('City 17'!$T$42&lt;&gt;0,'City 17'!$T$42," ")</f>
        <v xml:space="preserve"> </v>
      </c>
      <c r="F232" s="409" t="str">
        <f>(IF('City 17'!$AJ$36&gt;0,'City 17'!$AF$36,(IF('City 17'!$T$26&gt;0,'City 17'!$P$26,(IF('City 17'!$T$30&gt;0,'City 17'!$P$30,(IF('City 17'!$D$18&gt;0,'City 17'!$B$18,(IF('City 17'!$T$24&gt;0,'City 17'!$P$24,(IF('City 17'!$AJ$12&gt;0,'City 17'!$AF$12," "))))))))))))</f>
        <v xml:space="preserve"> </v>
      </c>
      <c r="G232" s="405"/>
      <c r="H232" s="410"/>
      <c r="I232" s="18"/>
      <c r="J232" s="19"/>
      <c r="K232" s="92" t="s">
        <v>152</v>
      </c>
      <c r="M232" s="46" t="str">
        <f>IF('City 18'!$T$42&lt;&gt;0,'City 18'!$T$42," ")</f>
        <v xml:space="preserve"> </v>
      </c>
      <c r="O232" s="409" t="str">
        <f>(IF('City 18'!$AJ$36&gt;0,'City 18'!$AF$36,(IF('City 18'!$T$26&gt;0,'City 18'!$P$26,(IF('City 18'!$T$30&gt;0,'City 18'!$P$30,(IF('City 18'!$D$18&gt;0,'City 18'!$B$18,(IF('City 18'!$T$24&gt;0,'City 18'!$P$24,(IF('City 18'!$AJ$12&gt;0,'City 18'!$AF$12," "))))))))))))</f>
        <v xml:space="preserve"> </v>
      </c>
      <c r="P232" s="405"/>
      <c r="Q232" s="410"/>
      <c r="R232" s="18"/>
    </row>
    <row r="233" spans="1:18" ht="3" customHeight="1" thickBot="1" x14ac:dyDescent="0.3">
      <c r="A233" s="19"/>
      <c r="B233" s="5"/>
      <c r="D233" s="5"/>
      <c r="F233" s="409"/>
      <c r="G233" s="405"/>
      <c r="H233" s="410"/>
      <c r="I233" s="18"/>
      <c r="J233" s="19"/>
      <c r="K233" s="5"/>
      <c r="M233" s="5"/>
      <c r="O233" s="409"/>
      <c r="P233" s="405"/>
      <c r="Q233" s="410"/>
      <c r="R233" s="18"/>
    </row>
    <row r="234" spans="1:18" ht="15.75" thickBot="1" x14ac:dyDescent="0.3">
      <c r="A234" s="19"/>
      <c r="B234" s="92" t="s">
        <v>98</v>
      </c>
      <c r="D234" s="46" t="str">
        <f>IF('City 17'!$AJ$42&lt;&gt;0,'City 17'!$AJ$42," ")</f>
        <v xml:space="preserve"> </v>
      </c>
      <c r="F234" s="414" t="str">
        <f>(IF('City 17'!$T$12&gt;0,'City 17'!$P$12,(IF('City 17'!$D$20&gt;0,'City 17'!$B$34,(IF('City 17'!$AJ$32&gt;0,'City 17'!$AF$32,(IF('City 17'!$AJ$18&gt;0,'City 17'!$AF$18,(IF('City 17'!$T$14&gt;0,'City 17'!$P$14,(IF('City 17'!$T$32&gt;0,'City 17'!$P$32,(IF('City 17'!$AJ$16&gt;0,'City 17'!$AF$16,(IF('City 17'!$D$20&gt;0,'City 17'!$B$20," "))))))))))))))))</f>
        <v xml:space="preserve"> </v>
      </c>
      <c r="G234" s="415"/>
      <c r="H234" s="416"/>
      <c r="I234" s="18"/>
      <c r="J234" s="19"/>
      <c r="K234" s="92" t="s">
        <v>98</v>
      </c>
      <c r="M234" s="46" t="str">
        <f>IF('City 18'!$AJ$42&lt;&gt;0,'City 18'!$AJ$42," ")</f>
        <v xml:space="preserve"> </v>
      </c>
      <c r="O234" s="414" t="str">
        <f>(IF('City 18'!$T$12&gt;0,'City 18'!$P$12,(IF('City 18'!$D$20&gt;0,'City 18'!$B$34,(IF('City 18'!$AJ$32&gt;0,'City 18'!$AF$32,(IF('City 18'!$AJ$18&gt;0,'City 18'!$AF$18,(IF('City 18'!$T$14&gt;0,'City 18'!$P$14,(IF('City 18'!$T$32&gt;0,'City 18'!$P$32,(IF('City 18'!$AJ$16&gt;0,'City 18'!$AF$16,(IF('City 18'!$D$20&gt;0,'City 18'!$B$20," "))))))))))))))))</f>
        <v xml:space="preserve"> </v>
      </c>
      <c r="P234" s="415"/>
      <c r="Q234" s="416"/>
      <c r="R234" s="18"/>
    </row>
    <row r="235" spans="1:18" ht="3" customHeight="1" x14ac:dyDescent="0.25">
      <c r="A235" s="19"/>
      <c r="B235" s="5"/>
      <c r="D235" s="5"/>
      <c r="F235" s="5"/>
      <c r="H235" s="5"/>
      <c r="I235" s="18"/>
      <c r="J235" s="19"/>
      <c r="K235" s="5"/>
      <c r="M235" s="5"/>
      <c r="O235" s="5"/>
      <c r="Q235" s="5"/>
      <c r="R235" s="18"/>
    </row>
    <row r="236" spans="1:18" x14ac:dyDescent="0.25">
      <c r="A236" s="19"/>
      <c r="B236" s="359" t="s">
        <v>104</v>
      </c>
      <c r="C236" s="417"/>
      <c r="D236" s="417"/>
      <c r="E236" s="405"/>
      <c r="F236" s="405"/>
      <c r="G236" s="405"/>
      <c r="H236" s="405"/>
      <c r="I236" s="18"/>
      <c r="J236" s="19"/>
      <c r="K236" s="359" t="s">
        <v>104</v>
      </c>
      <c r="L236" s="417"/>
      <c r="M236" s="417"/>
      <c r="N236" s="405"/>
      <c r="O236" s="405"/>
      <c r="P236" s="405"/>
      <c r="Q236" s="405"/>
      <c r="R236" s="18"/>
    </row>
    <row r="237" spans="1:18" ht="3" customHeight="1" thickBot="1" x14ac:dyDescent="0.3">
      <c r="A237" s="19"/>
      <c r="B237" s="5"/>
      <c r="D237" s="5"/>
      <c r="F237" s="5"/>
      <c r="H237" s="5"/>
      <c r="I237" s="18"/>
      <c r="J237" s="19"/>
      <c r="K237" s="5"/>
      <c r="M237" s="5"/>
      <c r="O237" s="5"/>
      <c r="Q237" s="5"/>
      <c r="R237" s="18"/>
    </row>
    <row r="238" spans="1:18" x14ac:dyDescent="0.25">
      <c r="A238" s="19"/>
      <c r="B238" s="418" t="str">
        <f>IF('City 17'!$B$58&lt;&gt;0,'City 17'!$B$58," ")</f>
        <v xml:space="preserve"> </v>
      </c>
      <c r="C238" s="419"/>
      <c r="D238" s="419"/>
      <c r="E238" s="419"/>
      <c r="F238" s="419"/>
      <c r="G238" s="419"/>
      <c r="H238" s="420"/>
      <c r="I238" s="18"/>
      <c r="J238" s="19"/>
      <c r="K238" s="418" t="str">
        <f>IF('City 18'!$B$58&lt;&gt;0,'City 18'!$B$58," ")</f>
        <v xml:space="preserve"> </v>
      </c>
      <c r="L238" s="419"/>
      <c r="M238" s="419"/>
      <c r="N238" s="419"/>
      <c r="O238" s="419"/>
      <c r="P238" s="419"/>
      <c r="Q238" s="420"/>
      <c r="R238" s="18"/>
    </row>
    <row r="239" spans="1:18" ht="3" customHeight="1" x14ac:dyDescent="0.25">
      <c r="A239" s="19"/>
      <c r="B239" s="421"/>
      <c r="C239" s="422"/>
      <c r="D239" s="422"/>
      <c r="E239" s="422"/>
      <c r="F239" s="422"/>
      <c r="G239" s="422"/>
      <c r="H239" s="423"/>
      <c r="I239" s="18"/>
      <c r="J239" s="19"/>
      <c r="K239" s="421"/>
      <c r="L239" s="422"/>
      <c r="M239" s="422"/>
      <c r="N239" s="422"/>
      <c r="O239" s="422"/>
      <c r="P239" s="422"/>
      <c r="Q239" s="423"/>
      <c r="R239" s="18"/>
    </row>
    <row r="240" spans="1:18" x14ac:dyDescent="0.25">
      <c r="A240" s="19"/>
      <c r="B240" s="421"/>
      <c r="C240" s="422"/>
      <c r="D240" s="422"/>
      <c r="E240" s="422"/>
      <c r="F240" s="422"/>
      <c r="G240" s="422"/>
      <c r="H240" s="423"/>
      <c r="I240" s="18"/>
      <c r="J240" s="19"/>
      <c r="K240" s="421"/>
      <c r="L240" s="422"/>
      <c r="M240" s="422"/>
      <c r="N240" s="422"/>
      <c r="O240" s="422"/>
      <c r="P240" s="422"/>
      <c r="Q240" s="423"/>
      <c r="R240" s="18"/>
    </row>
    <row r="241" spans="1:18" x14ac:dyDescent="0.25">
      <c r="A241" s="19"/>
      <c r="B241" s="421"/>
      <c r="C241" s="422"/>
      <c r="D241" s="422"/>
      <c r="E241" s="422"/>
      <c r="F241" s="422"/>
      <c r="G241" s="422"/>
      <c r="H241" s="423"/>
      <c r="I241" s="18"/>
      <c r="J241" s="19"/>
      <c r="K241" s="421"/>
      <c r="L241" s="422"/>
      <c r="M241" s="422"/>
      <c r="N241" s="422"/>
      <c r="O241" s="422"/>
      <c r="P241" s="422"/>
      <c r="Q241" s="423"/>
      <c r="R241" s="18"/>
    </row>
    <row r="242" spans="1:18" ht="15.75" thickBot="1" x14ac:dyDescent="0.3">
      <c r="A242" s="19"/>
      <c r="B242" s="424"/>
      <c r="C242" s="425"/>
      <c r="D242" s="425"/>
      <c r="E242" s="425"/>
      <c r="F242" s="425"/>
      <c r="G242" s="425"/>
      <c r="H242" s="426"/>
      <c r="I242" s="18"/>
      <c r="J242" s="19"/>
      <c r="K242" s="424"/>
      <c r="L242" s="425"/>
      <c r="M242" s="425"/>
      <c r="N242" s="425"/>
      <c r="O242" s="425"/>
      <c r="P242" s="425"/>
      <c r="Q242" s="426"/>
      <c r="R242" s="18"/>
    </row>
    <row r="243" spans="1:18" ht="5.0999999999999996" customHeight="1" thickBot="1" x14ac:dyDescent="0.3">
      <c r="A243" s="34"/>
      <c r="B243" s="4"/>
      <c r="C243" s="28"/>
      <c r="D243" s="4"/>
      <c r="E243" s="4"/>
      <c r="F243" s="4"/>
      <c r="G243" s="28"/>
      <c r="H243" s="4"/>
      <c r="I243" s="29"/>
      <c r="J243" s="34"/>
      <c r="K243" s="4"/>
      <c r="L243" s="28"/>
      <c r="M243" s="4"/>
      <c r="N243" s="4"/>
      <c r="O243" s="4"/>
      <c r="P243" s="28"/>
      <c r="Q243" s="4"/>
      <c r="R243" s="29"/>
    </row>
    <row r="244" spans="1:18" ht="5.0999999999999996" customHeight="1" thickBot="1" x14ac:dyDescent="0.3">
      <c r="A244" s="12"/>
      <c r="B244" s="14"/>
      <c r="C244" s="13"/>
      <c r="D244" s="14"/>
      <c r="E244" s="14"/>
      <c r="F244" s="14"/>
      <c r="G244" s="13"/>
      <c r="H244" s="14"/>
      <c r="I244" s="15"/>
      <c r="J244" s="12"/>
      <c r="K244" s="14"/>
      <c r="L244" s="13"/>
      <c r="M244" s="14"/>
      <c r="N244" s="14"/>
      <c r="O244" s="14"/>
      <c r="P244" s="13"/>
      <c r="Q244" s="14"/>
      <c r="R244" s="15"/>
    </row>
    <row r="245" spans="1:18" ht="15.75" thickBot="1" x14ac:dyDescent="0.3">
      <c r="A245" s="19"/>
      <c r="B245" s="69" t="s">
        <v>83</v>
      </c>
      <c r="C245" s="61"/>
      <c r="D245" s="411" t="str">
        <f>IF('City 19'!$D$2&lt;&gt;0,'City 19'!$D$2," ")</f>
        <v xml:space="preserve"> </v>
      </c>
      <c r="E245" s="412"/>
      <c r="F245" s="412"/>
      <c r="G245" s="412"/>
      <c r="H245" s="413"/>
      <c r="I245" s="18"/>
      <c r="J245" s="19"/>
      <c r="K245" s="69" t="s">
        <v>83</v>
      </c>
      <c r="L245" s="61"/>
      <c r="M245" s="411" t="str">
        <f>IF('City 20'!$D$2&lt;&gt;0,'City 20'!$D$2," ")</f>
        <v xml:space="preserve"> </v>
      </c>
      <c r="N245" s="412"/>
      <c r="O245" s="412"/>
      <c r="P245" s="412"/>
      <c r="Q245" s="413"/>
      <c r="R245" s="18"/>
    </row>
    <row r="246" spans="1:18" s="1" customFormat="1" ht="3" customHeight="1" thickBot="1" x14ac:dyDescent="0.3">
      <c r="A246" s="33"/>
      <c r="B246" s="61"/>
      <c r="C246" s="61"/>
      <c r="D246" s="45"/>
      <c r="E246" s="11"/>
      <c r="F246" s="61"/>
      <c r="G246" s="61"/>
      <c r="H246" s="11"/>
      <c r="I246" s="22"/>
      <c r="J246" s="33"/>
      <c r="K246" s="61"/>
      <c r="L246" s="61"/>
      <c r="M246" s="45"/>
      <c r="N246" s="11"/>
      <c r="O246" s="61"/>
      <c r="P246" s="61"/>
      <c r="Q246" s="11"/>
      <c r="R246" s="22"/>
    </row>
    <row r="247" spans="1:18" ht="15.75" thickBot="1" x14ac:dyDescent="0.3">
      <c r="A247" s="19"/>
      <c r="B247" s="92" t="s">
        <v>49</v>
      </c>
      <c r="C247" s="62"/>
      <c r="D247" s="46" t="str">
        <f>IF('City 19'!$D$4&lt;&gt;0,'City 19'!$D$4," ")</f>
        <v xml:space="preserve"> </v>
      </c>
      <c r="E247" s="81"/>
      <c r="F247" s="92" t="s">
        <v>43</v>
      </c>
      <c r="G247" s="62"/>
      <c r="H247" s="46" t="str">
        <f>IF('City 19'!$T$6&lt;&gt;0,'City 19'!$T$6," ")</f>
        <v xml:space="preserve"> </v>
      </c>
      <c r="I247" s="18"/>
      <c r="J247" s="19"/>
      <c r="K247" s="92" t="s">
        <v>49</v>
      </c>
      <c r="L247" s="62"/>
      <c r="M247" s="46" t="str">
        <f>IF('City 20'!$D$4&lt;&gt;0,'City 20'!$D$4," ")</f>
        <v xml:space="preserve"> </v>
      </c>
      <c r="N247" s="81"/>
      <c r="O247" s="92" t="s">
        <v>43</v>
      </c>
      <c r="P247" s="62"/>
      <c r="Q247" s="46" t="str">
        <f>IF('City 20'!$T$6&lt;&gt;0,'City 20'!$T$6," ")</f>
        <v xml:space="preserve"> </v>
      </c>
      <c r="R247" s="18"/>
    </row>
    <row r="248" spans="1:18" s="1" customFormat="1" ht="3" customHeight="1" thickBot="1" x14ac:dyDescent="0.3">
      <c r="A248" s="33"/>
      <c r="B248" s="61"/>
      <c r="C248" s="61"/>
      <c r="D248" s="21"/>
      <c r="E248" s="21"/>
      <c r="F248" s="11"/>
      <c r="G248" s="11"/>
      <c r="H248" s="11"/>
      <c r="I248" s="22"/>
      <c r="J248" s="33"/>
      <c r="K248" s="61"/>
      <c r="L248" s="61"/>
      <c r="M248" s="21"/>
      <c r="N248" s="21"/>
      <c r="O248" s="11"/>
      <c r="P248" s="11"/>
      <c r="Q248" s="11"/>
      <c r="R248" s="22"/>
    </row>
    <row r="249" spans="1:18" ht="15.75" thickBot="1" x14ac:dyDescent="0.3">
      <c r="A249" s="19"/>
      <c r="B249" s="92" t="s">
        <v>50</v>
      </c>
      <c r="C249" s="62"/>
      <c r="D249" s="46" t="str">
        <f>IF('City 19'!$D$6&lt;&gt;0,'City 19'!$D$6," ")</f>
        <v xml:space="preserve"> </v>
      </c>
      <c r="E249" s="81"/>
      <c r="F249" s="92" t="s">
        <v>95</v>
      </c>
      <c r="G249" s="62"/>
      <c r="H249" s="46">
        <f>IF('City 19'!$AJ$4&lt;&gt;0,'City 19'!$AJ$4,0)</f>
        <v>0</v>
      </c>
      <c r="I249" s="18"/>
      <c r="J249" s="19"/>
      <c r="K249" s="92" t="s">
        <v>50</v>
      </c>
      <c r="L249" s="62"/>
      <c r="M249" s="46" t="str">
        <f>IF('City 20'!$D$6&lt;&gt;0,'City 20'!$D$6," ")</f>
        <v xml:space="preserve"> </v>
      </c>
      <c r="N249" s="81"/>
      <c r="O249" s="92" t="s">
        <v>95</v>
      </c>
      <c r="P249" s="62"/>
      <c r="Q249" s="46">
        <f>IF('City 20'!$AJ$4&lt;&gt;0,'City 20'!$AJ$4,0)</f>
        <v>0</v>
      </c>
      <c r="R249" s="18"/>
    </row>
    <row r="250" spans="1:18" s="1" customFormat="1" ht="3" customHeight="1" thickBot="1" x14ac:dyDescent="0.3">
      <c r="A250" s="33"/>
      <c r="B250" s="61"/>
      <c r="C250" s="61"/>
      <c r="D250" s="21"/>
      <c r="E250" s="21"/>
      <c r="F250" s="11"/>
      <c r="G250" s="11"/>
      <c r="H250" s="11"/>
      <c r="I250" s="22"/>
      <c r="J250" s="33"/>
      <c r="K250" s="61"/>
      <c r="L250" s="61"/>
      <c r="M250" s="21"/>
      <c r="N250" s="21"/>
      <c r="O250" s="11"/>
      <c r="P250" s="11"/>
      <c r="Q250" s="11"/>
      <c r="R250" s="22"/>
    </row>
    <row r="251" spans="1:18" ht="15.75" thickBot="1" x14ac:dyDescent="0.3">
      <c r="A251" s="19"/>
      <c r="B251" s="92" t="s">
        <v>51</v>
      </c>
      <c r="C251" s="62"/>
      <c r="D251" s="46" t="str">
        <f>IF('City 19'!$T$4&lt;&gt;0,'City 19'!$T$4," ")</f>
        <v xml:space="preserve"> </v>
      </c>
      <c r="E251" s="81"/>
      <c r="F251" s="359" t="s">
        <v>148</v>
      </c>
      <c r="G251" s="417"/>
      <c r="H251" s="417"/>
      <c r="I251" s="18"/>
      <c r="J251" s="19"/>
      <c r="K251" s="92" t="s">
        <v>51</v>
      </c>
      <c r="L251" s="62"/>
      <c r="M251" s="46" t="str">
        <f>IF('City 20'!$T$4&lt;&gt;0,'City 20'!$T$4," ")</f>
        <v xml:space="preserve"> </v>
      </c>
      <c r="N251" s="81"/>
      <c r="O251" s="359" t="s">
        <v>148</v>
      </c>
      <c r="P251" s="417"/>
      <c r="Q251" s="417"/>
      <c r="R251" s="18"/>
    </row>
    <row r="252" spans="1:18" s="1" customFormat="1" ht="3" customHeight="1" thickBot="1" x14ac:dyDescent="0.3">
      <c r="A252" s="33"/>
      <c r="B252" s="62"/>
      <c r="C252" s="62"/>
      <c r="D252" s="21"/>
      <c r="E252" s="21"/>
      <c r="F252" s="5"/>
      <c r="G252" s="11"/>
      <c r="H252" s="5"/>
      <c r="I252" s="22"/>
      <c r="J252" s="33"/>
      <c r="K252" s="62"/>
      <c r="L252" s="62"/>
      <c r="M252" s="21"/>
      <c r="N252" s="21"/>
      <c r="O252" s="5"/>
      <c r="P252" s="11"/>
      <c r="Q252" s="5"/>
      <c r="R252" s="22"/>
    </row>
    <row r="253" spans="1:18" x14ac:dyDescent="0.25">
      <c r="A253" s="19"/>
      <c r="B253" s="359" t="s">
        <v>149</v>
      </c>
      <c r="C253" s="417"/>
      <c r="D253" s="417"/>
      <c r="E253" s="81"/>
      <c r="F253" s="427" t="str">
        <f>IF('City 19'!$D$26&gt;0, 'City 19'!$B$26, (IF('City 19'!$D$36&gt;0, 'City 19'!$B$36, (IF('City 19'!$D$16&gt;0, 'City 19'!$B$36, (IF('City 19'!$AJ$34&gt;0, 'City 19'!$AF$34," ")))))))</f>
        <v xml:space="preserve"> </v>
      </c>
      <c r="G253" s="428"/>
      <c r="H253" s="429"/>
      <c r="I253" s="18"/>
      <c r="J253" s="19"/>
      <c r="K253" s="359" t="s">
        <v>149</v>
      </c>
      <c r="L253" s="417"/>
      <c r="M253" s="417"/>
      <c r="N253" s="81"/>
      <c r="O253" s="427" t="str">
        <f>IF('City 20'!$D$26&gt;0, 'City 20'!$B$26, (IF('City 20'!$D$36&gt;0, 'City 20'!$B$36, (IF('City 20'!$D$16&gt;0, 'City 20'!$B$36, (IF('City 20'!$AJ$34&gt;0, 'City 20'!$AF$34," ")))))))</f>
        <v xml:space="preserve"> </v>
      </c>
      <c r="P253" s="428"/>
      <c r="Q253" s="429"/>
      <c r="R253" s="18"/>
    </row>
    <row r="254" spans="1:18" s="1" customFormat="1" ht="3" customHeight="1" thickBot="1" x14ac:dyDescent="0.3">
      <c r="A254" s="33"/>
      <c r="B254" s="5"/>
      <c r="C254" s="11"/>
      <c r="D254" s="5"/>
      <c r="E254" s="21"/>
      <c r="F254" s="409"/>
      <c r="G254" s="405"/>
      <c r="H254" s="410"/>
      <c r="I254" s="22"/>
      <c r="J254" s="33"/>
      <c r="K254" s="5"/>
      <c r="L254" s="11"/>
      <c r="M254" s="5"/>
      <c r="N254" s="21"/>
      <c r="O254" s="409"/>
      <c r="P254" s="405"/>
      <c r="Q254" s="410"/>
      <c r="R254" s="22"/>
    </row>
    <row r="255" spans="1:18" ht="15.75" thickBot="1" x14ac:dyDescent="0.3">
      <c r="A255" s="19"/>
      <c r="B255" s="92" t="s">
        <v>96</v>
      </c>
      <c r="C255" s="62"/>
      <c r="D255" s="46" t="str">
        <f>IF('City 19'!$AJ$2&lt;&gt;0,'City 19'!$AJ$2," ")</f>
        <v xml:space="preserve"> </v>
      </c>
      <c r="E255" s="81"/>
      <c r="F255" s="409" t="str">
        <f>(IF('City 19'!$D$28&gt;0, 'City 19'!$B$28, (IF('City 19'!$AJ$24&gt;0, 'City 19'!$AF$24, (IF('City 19'!$AJ$14&gt;0, 'City 19'!$AF$14," "))))))</f>
        <v xml:space="preserve"> </v>
      </c>
      <c r="G255" s="405"/>
      <c r="H255" s="410"/>
      <c r="I255" s="18"/>
      <c r="J255" s="19"/>
      <c r="K255" s="92" t="s">
        <v>96</v>
      </c>
      <c r="L255" s="62"/>
      <c r="M255" s="46" t="str">
        <f>IF('City 20'!$AJ$2&lt;&gt;0,'City 20'!$AJ$2," ")</f>
        <v xml:space="preserve"> </v>
      </c>
      <c r="N255" s="81"/>
      <c r="O255" s="409" t="str">
        <f>(IF('City 20'!$D$28&gt;0, 'City 20'!$B$28, (IF('City 20'!$AJ$24&gt;0, 'City 20'!$AF$24, (IF('City 20'!$AJ$14&gt;0, 'City 20'!$AF$14," "))))))</f>
        <v xml:space="preserve"> </v>
      </c>
      <c r="P255" s="405"/>
      <c r="Q255" s="410"/>
      <c r="R255" s="18"/>
    </row>
    <row r="256" spans="1:18" s="1" customFormat="1" ht="3" customHeight="1" thickBot="1" x14ac:dyDescent="0.3">
      <c r="A256" s="33"/>
      <c r="B256" s="5"/>
      <c r="C256" s="11"/>
      <c r="D256" s="5"/>
      <c r="E256" s="45"/>
      <c r="F256" s="409"/>
      <c r="G256" s="405"/>
      <c r="H256" s="410"/>
      <c r="I256" s="22"/>
      <c r="J256" s="33"/>
      <c r="K256" s="5"/>
      <c r="L256" s="11"/>
      <c r="M256" s="5"/>
      <c r="N256" s="45"/>
      <c r="O256" s="409"/>
      <c r="P256" s="405"/>
      <c r="Q256" s="410"/>
      <c r="R256" s="22"/>
    </row>
    <row r="257" spans="1:18" ht="15.75" thickBot="1" x14ac:dyDescent="0.3">
      <c r="A257" s="19"/>
      <c r="B257" s="92" t="s">
        <v>97</v>
      </c>
      <c r="D257" s="46" t="str">
        <f>IF('City 19'!$D$42&lt;&gt;0,'City 19'!$D$42," ")</f>
        <v xml:space="preserve"> </v>
      </c>
      <c r="F257" s="409" t="str">
        <f>(IF('City 19'!$D$14&gt;0, 'City 19'!$B$14, (IF('City 19'!$AJ$28&gt;0, 'City 19'!$AF$28, (IF('City 19'!$AJ$22&gt;0, 'City 19'!$AF$22, (IF('City 19'!$T$18&gt;0, 'City 19'!$P$18, (IF('City 19'!$D$22&gt;0, 'City 19'!$B$22, (IF('City 19'!$T$38&gt;0, 'City 19'!$P$38," "))))))))))))</f>
        <v xml:space="preserve"> </v>
      </c>
      <c r="G257" s="405"/>
      <c r="H257" s="410"/>
      <c r="I257" s="18"/>
      <c r="J257" s="19"/>
      <c r="K257" s="92" t="s">
        <v>97</v>
      </c>
      <c r="M257" s="46" t="str">
        <f>IF('City 20'!$D$42&lt;&gt;0,'City 20'!$D$42," ")</f>
        <v xml:space="preserve"> </v>
      </c>
      <c r="O257" s="409" t="str">
        <f>(IF('City 20'!$D$14&gt;0, 'City 20'!$B$14, (IF('City 20'!$AJ$28&gt;0, 'City 20'!$AF$28, (IF('City 20'!$AJ$22&gt;0, 'City 20'!$AF$22, (IF('City 20'!$T$18&gt;0, 'City 20'!$P$18, (IF('City 20'!$D$22&gt;0, 'City 20'!$B$22, (IF('City 20'!$T$38&gt;0, 'City 20'!$P$38," "))))))))))))</f>
        <v xml:space="preserve"> </v>
      </c>
      <c r="P257" s="405"/>
      <c r="Q257" s="410"/>
      <c r="R257" s="18"/>
    </row>
    <row r="258" spans="1:18" ht="3" customHeight="1" thickBot="1" x14ac:dyDescent="0.3">
      <c r="A258" s="19"/>
      <c r="B258" s="5"/>
      <c r="D258" s="5"/>
      <c r="F258" s="409"/>
      <c r="G258" s="405"/>
      <c r="H258" s="410"/>
      <c r="I258" s="18"/>
      <c r="J258" s="19"/>
      <c r="K258" s="5"/>
      <c r="M258" s="5"/>
      <c r="O258" s="409"/>
      <c r="P258" s="405"/>
      <c r="Q258" s="410"/>
      <c r="R258" s="18"/>
    </row>
    <row r="259" spans="1:18" ht="15.75" thickBot="1" x14ac:dyDescent="0.3">
      <c r="A259" s="19"/>
      <c r="B259" s="92" t="s">
        <v>152</v>
      </c>
      <c r="D259" s="46" t="str">
        <f>IF('City 19'!$T$42&lt;&gt;0,'City 19'!$T$42," ")</f>
        <v xml:space="preserve"> </v>
      </c>
      <c r="F259" s="409" t="str">
        <f>(IF('City 19'!$AJ$36&gt;0,'City 19'!$AF$36,(IF('City 19'!$T$26&gt;0,'City 19'!$P$26,(IF('City 19'!$T$30&gt;0,'City 19'!$P$30,(IF('City 19'!$D$18&gt;0,'City 19'!$B$18,(IF('City 19'!$T$24&gt;0,'City 19'!$P$24,(IF('City 19'!$AJ$12&gt;0,'City 19'!$AF$12," "))))))))))))</f>
        <v xml:space="preserve"> </v>
      </c>
      <c r="G259" s="405"/>
      <c r="H259" s="410"/>
      <c r="I259" s="18"/>
      <c r="J259" s="19"/>
      <c r="K259" s="92" t="s">
        <v>152</v>
      </c>
      <c r="M259" s="46" t="str">
        <f>IF('City 20'!$T$42&lt;&gt;0,'City 20'!$T$42," ")</f>
        <v xml:space="preserve"> </v>
      </c>
      <c r="O259" s="409" t="str">
        <f>(IF('City 20'!$AJ$36&gt;0,'City 20'!$AF$36,(IF('City 20'!$T$26&gt;0,'City 20'!$P$26,(IF('City 20'!$T$30&gt;0,'City 20'!$P$30,(IF('City 20'!$D$18&gt;0,'City 20'!$B$18,(IF('City 20'!$T$24&gt;0,'City 20'!$P$24,(IF('City 20'!$AJ$12&gt;0,'City 20'!$AF$12," "))))))))))))</f>
        <v xml:space="preserve"> </v>
      </c>
      <c r="P259" s="405"/>
      <c r="Q259" s="410"/>
      <c r="R259" s="18"/>
    </row>
    <row r="260" spans="1:18" ht="3" customHeight="1" thickBot="1" x14ac:dyDescent="0.3">
      <c r="A260" s="19"/>
      <c r="B260" s="5"/>
      <c r="D260" s="5"/>
      <c r="F260" s="409"/>
      <c r="G260" s="405"/>
      <c r="H260" s="410"/>
      <c r="I260" s="18"/>
      <c r="J260" s="19"/>
      <c r="K260" s="5"/>
      <c r="M260" s="5"/>
      <c r="O260" s="409"/>
      <c r="P260" s="405"/>
      <c r="Q260" s="410"/>
      <c r="R260" s="18"/>
    </row>
    <row r="261" spans="1:18" ht="15.75" thickBot="1" x14ac:dyDescent="0.3">
      <c r="A261" s="19"/>
      <c r="B261" s="92" t="s">
        <v>98</v>
      </c>
      <c r="D261" s="46" t="str">
        <f>IF('City 19'!$AJ$42&lt;&gt;0,'City 19'!$AJ$42," ")</f>
        <v xml:space="preserve"> </v>
      </c>
      <c r="F261" s="414" t="str">
        <f>(IF('City 19'!$T$12&gt;0,'City 19'!$P$12,(IF('City 19'!$D$20&gt;0,'City 19'!$B$34,(IF('City 19'!$AJ$32&gt;0,'City 19'!$AF$32,(IF('City 19'!$AJ$18&gt;0,'City 19'!$AF$18,(IF('City 19'!$T$14&gt;0,'City 19'!$P$14,(IF('City 19'!$T$32&gt;0,'City 19'!$P$32,(IF('City 19'!$AJ$16&gt;0,'City 19'!$AF$16,(IF('City 19'!$D$20&gt;0,'City 19'!$B$20," "))))))))))))))))</f>
        <v xml:space="preserve"> </v>
      </c>
      <c r="G261" s="415"/>
      <c r="H261" s="416"/>
      <c r="I261" s="18"/>
      <c r="J261" s="19"/>
      <c r="K261" s="92" t="s">
        <v>98</v>
      </c>
      <c r="M261" s="46" t="str">
        <f>IF('City 20'!$AJ$42&lt;&gt;0,'City 20'!$AJ$42," ")</f>
        <v xml:space="preserve"> </v>
      </c>
      <c r="O261" s="414" t="str">
        <f>(IF('City 20'!$T$12&gt;0,'City 20'!$P$12,(IF('City 20'!$D$20&gt;0,'City 20'!$B$34,(IF('City 20'!$AJ$32&gt;0,'City 20'!$AF$32,(IF('City 20'!$AJ$18&gt;0,'City 20'!$AF$18,(IF('City 20'!$T$14&gt;0,'City 20'!$P$14,(IF('City 20'!$T$32&gt;0,'City 20'!$P$32,(IF('City 20'!$AJ$16&gt;0,'City 20'!$AF$16,(IF('City 20'!$D$20&gt;0,'City 20'!$B$20," "))))))))))))))))</f>
        <v xml:space="preserve"> </v>
      </c>
      <c r="P261" s="415"/>
      <c r="Q261" s="416"/>
      <c r="R261" s="18"/>
    </row>
    <row r="262" spans="1:18" ht="3" customHeight="1" x14ac:dyDescent="0.25">
      <c r="A262" s="19"/>
      <c r="B262" s="5"/>
      <c r="D262" s="5"/>
      <c r="F262" s="5"/>
      <c r="H262" s="5"/>
      <c r="I262" s="18"/>
      <c r="J262" s="19"/>
      <c r="K262" s="5"/>
      <c r="M262" s="5"/>
      <c r="O262" s="5"/>
      <c r="Q262" s="5"/>
      <c r="R262" s="18"/>
    </row>
    <row r="263" spans="1:18" x14ac:dyDescent="0.25">
      <c r="A263" s="19"/>
      <c r="B263" s="359" t="s">
        <v>104</v>
      </c>
      <c r="C263" s="417"/>
      <c r="D263" s="417"/>
      <c r="E263" s="405"/>
      <c r="F263" s="405"/>
      <c r="G263" s="405"/>
      <c r="H263" s="405"/>
      <c r="I263" s="18"/>
      <c r="J263" s="19"/>
      <c r="K263" s="359" t="s">
        <v>104</v>
      </c>
      <c r="L263" s="417"/>
      <c r="M263" s="417"/>
      <c r="N263" s="405"/>
      <c r="O263" s="405"/>
      <c r="P263" s="405"/>
      <c r="Q263" s="405"/>
      <c r="R263" s="18"/>
    </row>
    <row r="264" spans="1:18" ht="3" customHeight="1" thickBot="1" x14ac:dyDescent="0.3">
      <c r="A264" s="19"/>
      <c r="B264" s="5"/>
      <c r="D264" s="5"/>
      <c r="F264" s="5"/>
      <c r="H264" s="5"/>
      <c r="I264" s="18"/>
      <c r="J264" s="19"/>
      <c r="K264" s="5"/>
      <c r="M264" s="5"/>
      <c r="O264" s="5"/>
      <c r="Q264" s="5"/>
      <c r="R264" s="18"/>
    </row>
    <row r="265" spans="1:18" x14ac:dyDescent="0.25">
      <c r="A265" s="19"/>
      <c r="B265" s="418" t="str">
        <f>IF('City 19'!$B$58&lt;&gt;0,'City 19'!$B$58," ")</f>
        <v xml:space="preserve"> </v>
      </c>
      <c r="C265" s="419"/>
      <c r="D265" s="419"/>
      <c r="E265" s="419"/>
      <c r="F265" s="419"/>
      <c r="G265" s="419"/>
      <c r="H265" s="420"/>
      <c r="I265" s="18"/>
      <c r="J265" s="19"/>
      <c r="K265" s="418" t="str">
        <f>IF('City 20'!$B$58&lt;&gt;0,'City 20'!$B$58," ")</f>
        <v xml:space="preserve"> </v>
      </c>
      <c r="L265" s="419"/>
      <c r="M265" s="419"/>
      <c r="N265" s="419"/>
      <c r="O265" s="419"/>
      <c r="P265" s="419"/>
      <c r="Q265" s="420"/>
      <c r="R265" s="18"/>
    </row>
    <row r="266" spans="1:18" ht="3" customHeight="1" x14ac:dyDescent="0.25">
      <c r="A266" s="19"/>
      <c r="B266" s="421"/>
      <c r="C266" s="422"/>
      <c r="D266" s="422"/>
      <c r="E266" s="422"/>
      <c r="F266" s="422"/>
      <c r="G266" s="422"/>
      <c r="H266" s="423"/>
      <c r="I266" s="18"/>
      <c r="J266" s="19"/>
      <c r="K266" s="421"/>
      <c r="L266" s="422"/>
      <c r="M266" s="422"/>
      <c r="N266" s="422"/>
      <c r="O266" s="422"/>
      <c r="P266" s="422"/>
      <c r="Q266" s="423"/>
      <c r="R266" s="18"/>
    </row>
    <row r="267" spans="1:18" x14ac:dyDescent="0.25">
      <c r="A267" s="19"/>
      <c r="B267" s="421"/>
      <c r="C267" s="422"/>
      <c r="D267" s="422"/>
      <c r="E267" s="422"/>
      <c r="F267" s="422"/>
      <c r="G267" s="422"/>
      <c r="H267" s="423"/>
      <c r="I267" s="18"/>
      <c r="J267" s="19"/>
      <c r="K267" s="421"/>
      <c r="L267" s="422"/>
      <c r="M267" s="422"/>
      <c r="N267" s="422"/>
      <c r="O267" s="422"/>
      <c r="P267" s="422"/>
      <c r="Q267" s="423"/>
      <c r="R267" s="18"/>
    </row>
    <row r="268" spans="1:18" x14ac:dyDescent="0.25">
      <c r="A268" s="19"/>
      <c r="B268" s="421"/>
      <c r="C268" s="422"/>
      <c r="D268" s="422"/>
      <c r="E268" s="422"/>
      <c r="F268" s="422"/>
      <c r="G268" s="422"/>
      <c r="H268" s="423"/>
      <c r="I268" s="18"/>
      <c r="J268" s="19"/>
      <c r="K268" s="421"/>
      <c r="L268" s="422"/>
      <c r="M268" s="422"/>
      <c r="N268" s="422"/>
      <c r="O268" s="422"/>
      <c r="P268" s="422"/>
      <c r="Q268" s="423"/>
      <c r="R268" s="18"/>
    </row>
    <row r="269" spans="1:18" ht="15.75" thickBot="1" x14ac:dyDescent="0.3">
      <c r="A269" s="19"/>
      <c r="B269" s="424"/>
      <c r="C269" s="425"/>
      <c r="D269" s="425"/>
      <c r="E269" s="425"/>
      <c r="F269" s="425"/>
      <c r="G269" s="425"/>
      <c r="H269" s="426"/>
      <c r="I269" s="18"/>
      <c r="J269" s="19"/>
      <c r="K269" s="424"/>
      <c r="L269" s="425"/>
      <c r="M269" s="425"/>
      <c r="N269" s="425"/>
      <c r="O269" s="425"/>
      <c r="P269" s="425"/>
      <c r="Q269" s="426"/>
      <c r="R269" s="18"/>
    </row>
    <row r="270" spans="1:18" ht="5.0999999999999996" customHeight="1" thickBot="1" x14ac:dyDescent="0.3">
      <c r="A270" s="34"/>
      <c r="B270" s="4"/>
      <c r="C270" s="28"/>
      <c r="D270" s="4"/>
      <c r="E270" s="4"/>
      <c r="F270" s="4"/>
      <c r="G270" s="28"/>
      <c r="H270" s="4"/>
      <c r="I270" s="29"/>
      <c r="J270" s="34"/>
      <c r="K270" s="4"/>
      <c r="L270" s="28"/>
      <c r="M270" s="4"/>
      <c r="N270" s="4"/>
      <c r="O270" s="4"/>
      <c r="P270" s="28"/>
      <c r="Q270" s="4"/>
      <c r="R270" s="29"/>
    </row>
    <row r="271" spans="1:18" ht="5.0999999999999996" customHeight="1" thickBot="1" x14ac:dyDescent="0.3">
      <c r="A271" s="12"/>
      <c r="B271" s="14"/>
      <c r="C271" s="13"/>
      <c r="D271" s="14"/>
      <c r="E271" s="14"/>
      <c r="F271" s="14"/>
      <c r="G271" s="13"/>
      <c r="H271" s="14"/>
      <c r="I271" s="15"/>
      <c r="J271" s="12"/>
      <c r="K271" s="14"/>
      <c r="L271" s="13"/>
      <c r="M271" s="14"/>
      <c r="N271" s="14"/>
      <c r="O271" s="14"/>
      <c r="P271" s="13"/>
      <c r="Q271" s="14"/>
      <c r="R271" s="15"/>
    </row>
    <row r="272" spans="1:18" ht="15.75" thickBot="1" x14ac:dyDescent="0.3">
      <c r="A272" s="19"/>
      <c r="B272" s="69" t="s">
        <v>83</v>
      </c>
      <c r="C272" s="61"/>
      <c r="D272" s="411" t="str">
        <f>IF('City 21'!$D$2&lt;&gt;0,'City 21'!$D$2," ")</f>
        <v xml:space="preserve"> </v>
      </c>
      <c r="E272" s="412"/>
      <c r="F272" s="412"/>
      <c r="G272" s="412"/>
      <c r="H272" s="413"/>
      <c r="I272" s="18"/>
      <c r="J272" s="19"/>
      <c r="K272" s="69" t="s">
        <v>83</v>
      </c>
      <c r="L272" s="61"/>
      <c r="M272" s="411" t="str">
        <f>IF('City 22'!$D$2&lt;&gt;0,'City 22'!$D$2," ")</f>
        <v xml:space="preserve"> </v>
      </c>
      <c r="N272" s="412"/>
      <c r="O272" s="412"/>
      <c r="P272" s="412"/>
      <c r="Q272" s="413"/>
      <c r="R272" s="18"/>
    </row>
    <row r="273" spans="1:18" s="1" customFormat="1" ht="3" customHeight="1" thickBot="1" x14ac:dyDescent="0.3">
      <c r="A273" s="33"/>
      <c r="B273" s="61"/>
      <c r="C273" s="61"/>
      <c r="D273" s="45"/>
      <c r="E273" s="11"/>
      <c r="F273" s="61"/>
      <c r="G273" s="61"/>
      <c r="H273" s="11"/>
      <c r="I273" s="22"/>
      <c r="J273" s="33"/>
      <c r="K273" s="61"/>
      <c r="L273" s="61"/>
      <c r="M273" s="45"/>
      <c r="N273" s="11"/>
      <c r="O273" s="61"/>
      <c r="P273" s="61"/>
      <c r="Q273" s="11"/>
      <c r="R273" s="22"/>
    </row>
    <row r="274" spans="1:18" ht="15.75" thickBot="1" x14ac:dyDescent="0.3">
      <c r="A274" s="19"/>
      <c r="B274" s="92" t="s">
        <v>49</v>
      </c>
      <c r="C274" s="62"/>
      <c r="D274" s="46" t="str">
        <f>IF('City 21'!$D$4&lt;&gt;0,'City 21'!$D$4," ")</f>
        <v xml:space="preserve"> </v>
      </c>
      <c r="E274" s="81"/>
      <c r="F274" s="92" t="s">
        <v>43</v>
      </c>
      <c r="G274" s="62"/>
      <c r="H274" s="46" t="str">
        <f>IF('City 21'!$T$6&lt;&gt;0,'City 21'!$T$6," ")</f>
        <v xml:space="preserve"> </v>
      </c>
      <c r="I274" s="18"/>
      <c r="J274" s="19"/>
      <c r="K274" s="92" t="s">
        <v>49</v>
      </c>
      <c r="L274" s="62"/>
      <c r="M274" s="46" t="str">
        <f>IF('City 22'!$D$4&lt;&gt;0,'City 22'!$D$4," ")</f>
        <v xml:space="preserve"> </v>
      </c>
      <c r="N274" s="81"/>
      <c r="O274" s="92" t="s">
        <v>43</v>
      </c>
      <c r="P274" s="62"/>
      <c r="Q274" s="46" t="str">
        <f>IF('City 22'!$T$6&lt;&gt;0,'City 22'!$T$6," ")</f>
        <v xml:space="preserve"> </v>
      </c>
      <c r="R274" s="18"/>
    </row>
    <row r="275" spans="1:18" s="1" customFormat="1" ht="3" customHeight="1" thickBot="1" x14ac:dyDescent="0.3">
      <c r="A275" s="33"/>
      <c r="B275" s="61"/>
      <c r="C275" s="61"/>
      <c r="D275" s="21"/>
      <c r="E275" s="21"/>
      <c r="F275" s="11"/>
      <c r="G275" s="11"/>
      <c r="H275" s="11"/>
      <c r="I275" s="22"/>
      <c r="J275" s="33"/>
      <c r="K275" s="61"/>
      <c r="L275" s="61"/>
      <c r="M275" s="21"/>
      <c r="N275" s="21"/>
      <c r="O275" s="11"/>
      <c r="P275" s="11"/>
      <c r="Q275" s="11"/>
      <c r="R275" s="22"/>
    </row>
    <row r="276" spans="1:18" ht="15.75" thickBot="1" x14ac:dyDescent="0.3">
      <c r="A276" s="19"/>
      <c r="B276" s="92" t="s">
        <v>50</v>
      </c>
      <c r="C276" s="62"/>
      <c r="D276" s="46" t="str">
        <f>IF('City 21'!$D$6&lt;&gt;0,'City 21'!$D$6," ")</f>
        <v xml:space="preserve"> </v>
      </c>
      <c r="E276" s="81"/>
      <c r="F276" s="92" t="s">
        <v>95</v>
      </c>
      <c r="G276" s="62"/>
      <c r="H276" s="46">
        <f>IF('City 21'!$AJ$4&lt;&gt;0,'City 21'!$AJ$4,0)</f>
        <v>0</v>
      </c>
      <c r="I276" s="18"/>
      <c r="J276" s="19"/>
      <c r="K276" s="92" t="s">
        <v>50</v>
      </c>
      <c r="L276" s="62"/>
      <c r="M276" s="46" t="str">
        <f>IF('City 22'!$D$6&lt;&gt;0,'City 22'!$D$6," ")</f>
        <v xml:space="preserve"> </v>
      </c>
      <c r="N276" s="81"/>
      <c r="O276" s="92" t="s">
        <v>95</v>
      </c>
      <c r="P276" s="62"/>
      <c r="Q276" s="46">
        <f>IF('City 22'!$AJ$4&lt;&gt;0,'City 22'!$AJ$4,0)</f>
        <v>0</v>
      </c>
      <c r="R276" s="18"/>
    </row>
    <row r="277" spans="1:18" s="1" customFormat="1" ht="3" customHeight="1" thickBot="1" x14ac:dyDescent="0.3">
      <c r="A277" s="33"/>
      <c r="B277" s="61"/>
      <c r="C277" s="61"/>
      <c r="D277" s="21"/>
      <c r="E277" s="21"/>
      <c r="F277" s="11"/>
      <c r="G277" s="11"/>
      <c r="H277" s="11"/>
      <c r="I277" s="22"/>
      <c r="J277" s="33"/>
      <c r="K277" s="61"/>
      <c r="L277" s="61"/>
      <c r="M277" s="21"/>
      <c r="N277" s="21"/>
      <c r="O277" s="11"/>
      <c r="P277" s="11"/>
      <c r="Q277" s="11"/>
      <c r="R277" s="22"/>
    </row>
    <row r="278" spans="1:18" ht="15.75" thickBot="1" x14ac:dyDescent="0.3">
      <c r="A278" s="19"/>
      <c r="B278" s="92" t="s">
        <v>51</v>
      </c>
      <c r="C278" s="62"/>
      <c r="D278" s="46" t="str">
        <f>IF('City 21'!$T$4&lt;&gt;0,'City 21'!$T$4," ")</f>
        <v xml:space="preserve"> </v>
      </c>
      <c r="E278" s="81"/>
      <c r="F278" s="359" t="s">
        <v>148</v>
      </c>
      <c r="G278" s="417"/>
      <c r="H278" s="417"/>
      <c r="I278" s="18"/>
      <c r="J278" s="19"/>
      <c r="K278" s="92" t="s">
        <v>51</v>
      </c>
      <c r="L278" s="62"/>
      <c r="M278" s="46" t="str">
        <f>IF('City 22'!$T$4&lt;&gt;0,'City 22'!$T$4," ")</f>
        <v xml:space="preserve"> </v>
      </c>
      <c r="N278" s="81"/>
      <c r="O278" s="359" t="s">
        <v>148</v>
      </c>
      <c r="P278" s="417"/>
      <c r="Q278" s="417"/>
      <c r="R278" s="18"/>
    </row>
    <row r="279" spans="1:18" s="1" customFormat="1" ht="3" customHeight="1" thickBot="1" x14ac:dyDescent="0.3">
      <c r="A279" s="33"/>
      <c r="B279" s="62"/>
      <c r="C279" s="62"/>
      <c r="D279" s="21"/>
      <c r="E279" s="21"/>
      <c r="F279" s="5"/>
      <c r="G279" s="11"/>
      <c r="H279" s="5"/>
      <c r="I279" s="22"/>
      <c r="J279" s="33"/>
      <c r="K279" s="62"/>
      <c r="L279" s="62"/>
      <c r="M279" s="21"/>
      <c r="N279" s="21"/>
      <c r="O279" s="5"/>
      <c r="P279" s="11"/>
      <c r="Q279" s="5"/>
      <c r="R279" s="22"/>
    </row>
    <row r="280" spans="1:18" x14ac:dyDescent="0.25">
      <c r="A280" s="19"/>
      <c r="B280" s="359" t="s">
        <v>149</v>
      </c>
      <c r="C280" s="417"/>
      <c r="D280" s="417"/>
      <c r="E280" s="81"/>
      <c r="F280" s="427" t="str">
        <f>IF('City 21'!$D$26&gt;0, 'City 21'!$B$26, (IF('City 21'!$D$36&gt;0, 'City 21'!$B$36, (IF('City 21'!$D$16&gt;0, 'City 21'!$B$36, (IF('City 21'!$AJ$34&gt;0, 'City 21'!$AF$34," ")))))))</f>
        <v xml:space="preserve"> </v>
      </c>
      <c r="G280" s="428"/>
      <c r="H280" s="429"/>
      <c r="I280" s="18"/>
      <c r="J280" s="19"/>
      <c r="K280" s="359" t="s">
        <v>149</v>
      </c>
      <c r="L280" s="417"/>
      <c r="M280" s="417"/>
      <c r="N280" s="81"/>
      <c r="O280" s="427" t="str">
        <f>IF('City 22'!$D$26&gt;0, 'City 22'!$B$26, (IF('City 22'!$D$36&gt;0, 'City 22'!$B$36, (IF('City 22'!$D$16&gt;0, 'City 22'!$B$36, (IF('City 22'!$AJ$34&gt;0, 'City 22'!$AF$34," ")))))))</f>
        <v xml:space="preserve"> </v>
      </c>
      <c r="P280" s="428"/>
      <c r="Q280" s="429"/>
      <c r="R280" s="18"/>
    </row>
    <row r="281" spans="1:18" s="1" customFormat="1" ht="3" customHeight="1" thickBot="1" x14ac:dyDescent="0.3">
      <c r="A281" s="33"/>
      <c r="B281" s="5"/>
      <c r="C281" s="11"/>
      <c r="D281" s="5"/>
      <c r="E281" s="21"/>
      <c r="F281" s="409"/>
      <c r="G281" s="405"/>
      <c r="H281" s="410"/>
      <c r="I281" s="22"/>
      <c r="J281" s="33"/>
      <c r="K281" s="5"/>
      <c r="L281" s="11"/>
      <c r="M281" s="5"/>
      <c r="N281" s="21"/>
      <c r="O281" s="409"/>
      <c r="P281" s="405"/>
      <c r="Q281" s="410"/>
      <c r="R281" s="22"/>
    </row>
    <row r="282" spans="1:18" ht="15.75" thickBot="1" x14ac:dyDescent="0.3">
      <c r="A282" s="19"/>
      <c r="B282" s="92" t="s">
        <v>96</v>
      </c>
      <c r="C282" s="62"/>
      <c r="D282" s="46" t="str">
        <f>IF('City 21'!$AJ$2&lt;&gt;0,'City 21'!$AJ$2," ")</f>
        <v xml:space="preserve"> </v>
      </c>
      <c r="E282" s="81"/>
      <c r="F282" s="409" t="str">
        <f>(IF('City 21'!$D$28&gt;0, 'City 21'!$B$28, (IF('City 21'!$AJ$24&gt;0, 'City 21'!$AF$24, (IF('City 21'!$AJ$14&gt;0, 'City 21'!$AF$14," "))))))</f>
        <v xml:space="preserve"> </v>
      </c>
      <c r="G282" s="405"/>
      <c r="H282" s="410"/>
      <c r="I282" s="18"/>
      <c r="J282" s="19"/>
      <c r="K282" s="92" t="s">
        <v>96</v>
      </c>
      <c r="L282" s="62"/>
      <c r="M282" s="46" t="str">
        <f>IF('City 22'!$AJ$2&lt;&gt;0,'City 22'!$AJ$2," ")</f>
        <v xml:space="preserve"> </v>
      </c>
      <c r="N282" s="81"/>
      <c r="O282" s="409" t="str">
        <f>(IF('City 22'!$D$28&gt;0, 'City 22'!$B$28, (IF('City 22'!$AJ$24&gt;0, 'City 22'!$AF$24, (IF('City 22'!$AJ$14&gt;0, 'City 22'!$AF$14," "))))))</f>
        <v xml:space="preserve"> </v>
      </c>
      <c r="P282" s="405"/>
      <c r="Q282" s="410"/>
      <c r="R282" s="18"/>
    </row>
    <row r="283" spans="1:18" s="1" customFormat="1" ht="3" customHeight="1" thickBot="1" x14ac:dyDescent="0.3">
      <c r="A283" s="33"/>
      <c r="B283" s="5"/>
      <c r="C283" s="11"/>
      <c r="D283" s="5"/>
      <c r="E283" s="45"/>
      <c r="F283" s="409"/>
      <c r="G283" s="405"/>
      <c r="H283" s="410"/>
      <c r="I283" s="22"/>
      <c r="J283" s="33"/>
      <c r="K283" s="5"/>
      <c r="L283" s="11"/>
      <c r="M283" s="5"/>
      <c r="N283" s="45"/>
      <c r="O283" s="409"/>
      <c r="P283" s="405"/>
      <c r="Q283" s="410"/>
      <c r="R283" s="22"/>
    </row>
    <row r="284" spans="1:18" ht="15.75" thickBot="1" x14ac:dyDescent="0.3">
      <c r="A284" s="19"/>
      <c r="B284" s="92" t="s">
        <v>97</v>
      </c>
      <c r="D284" s="46" t="str">
        <f>IF('City 21'!$D$42&lt;&gt;0,'City 21'!$D$42," ")</f>
        <v xml:space="preserve"> </v>
      </c>
      <c r="F284" s="409" t="str">
        <f>(IF('City 21'!$D$14&gt;0, 'City 21'!$B$14, (IF('City 21'!$AJ$28&gt;0, 'City 21'!$AF$28, (IF('City 21'!$AJ$22&gt;0, 'City 21'!$AF$22, (IF('City 21'!$T$18&gt;0, 'City 21'!$P$18, (IF('City 21'!$D$22&gt;0, 'City 21'!$B$22, (IF('City 21'!$T$38&gt;0, 'City 21'!$P$38," "))))))))))))</f>
        <v xml:space="preserve"> </v>
      </c>
      <c r="G284" s="405"/>
      <c r="H284" s="410"/>
      <c r="I284" s="18"/>
      <c r="J284" s="19"/>
      <c r="K284" s="92" t="s">
        <v>97</v>
      </c>
      <c r="M284" s="46" t="str">
        <f>IF('City 22'!$D$42&lt;&gt;0,'City 22'!$D$42," ")</f>
        <v xml:space="preserve"> </v>
      </c>
      <c r="O284" s="409" t="str">
        <f>(IF('City 22'!$D$14&gt;0, 'City 22'!$B$14, (IF('City 22'!$AJ$28&gt;0, 'City 22'!$AF$28, (IF('City 22'!$AJ$22&gt;0, 'City 22'!$AF$22, (IF('City 22'!$T$18&gt;0, 'City 22'!$P$18, (IF('City 22'!$D$22&gt;0, 'City 22'!$B$22, (IF('City 22'!$T$38&gt;0, 'City 22'!$P$38," "))))))))))))</f>
        <v xml:space="preserve"> </v>
      </c>
      <c r="P284" s="405"/>
      <c r="Q284" s="410"/>
      <c r="R284" s="18"/>
    </row>
    <row r="285" spans="1:18" ht="3" customHeight="1" thickBot="1" x14ac:dyDescent="0.3">
      <c r="A285" s="19"/>
      <c r="B285" s="5"/>
      <c r="D285" s="5"/>
      <c r="F285" s="409"/>
      <c r="G285" s="405"/>
      <c r="H285" s="410"/>
      <c r="I285" s="18"/>
      <c r="J285" s="19"/>
      <c r="K285" s="5"/>
      <c r="M285" s="5"/>
      <c r="O285" s="409"/>
      <c r="P285" s="405"/>
      <c r="Q285" s="410"/>
      <c r="R285" s="18"/>
    </row>
    <row r="286" spans="1:18" ht="15.75" thickBot="1" x14ac:dyDescent="0.3">
      <c r="A286" s="19"/>
      <c r="B286" s="92" t="s">
        <v>152</v>
      </c>
      <c r="D286" s="46" t="str">
        <f>IF('City 21'!$T$42&lt;&gt;0,'City 21'!$T$42," ")</f>
        <v xml:space="preserve"> </v>
      </c>
      <c r="F286" s="409" t="str">
        <f>(IF('City 21'!$AJ$36&gt;0,'City 21'!$AF$36,(IF('City 21'!$T$26&gt;0,'City 21'!$P$26,(IF('City 21'!$T$30&gt;0,'City 21'!$P$30,(IF('City 21'!$D$18&gt;0,'City 21'!$B$18,(IF('City 21'!$T$24&gt;0,'City 21'!$P$24,(IF('City 21'!$AJ$12&gt;0,'City 21'!$AF$12," "))))))))))))</f>
        <v xml:space="preserve"> </v>
      </c>
      <c r="G286" s="405"/>
      <c r="H286" s="410"/>
      <c r="I286" s="18"/>
      <c r="J286" s="19"/>
      <c r="K286" s="92" t="s">
        <v>152</v>
      </c>
      <c r="M286" s="46" t="str">
        <f>IF('City 22'!$T$42&lt;&gt;0,'City 22'!$T$42," ")</f>
        <v xml:space="preserve"> </v>
      </c>
      <c r="O286" s="409" t="str">
        <f>(IF('City 22'!$AJ$36&gt;0,'City 22'!$AF$36,(IF('City 22'!$T$26&gt;0,'City 22'!$P$26,(IF('City 22'!$T$30&gt;0,'City 22'!$P$30,(IF('City 22'!$D$18&gt;0,'City 22'!$B$18,(IF('City 22'!$T$24&gt;0,'City 22'!$P$24,(IF('City 22'!$AJ$12&gt;0,'City 22'!$AF$12," "))))))))))))</f>
        <v xml:space="preserve"> </v>
      </c>
      <c r="P286" s="405"/>
      <c r="Q286" s="410"/>
      <c r="R286" s="18"/>
    </row>
    <row r="287" spans="1:18" ht="3" customHeight="1" thickBot="1" x14ac:dyDescent="0.3">
      <c r="A287" s="19"/>
      <c r="B287" s="5"/>
      <c r="D287" s="5"/>
      <c r="F287" s="409"/>
      <c r="G287" s="405"/>
      <c r="H287" s="410"/>
      <c r="I287" s="18"/>
      <c r="J287" s="19"/>
      <c r="K287" s="5"/>
      <c r="M287" s="5"/>
      <c r="O287" s="409"/>
      <c r="P287" s="405"/>
      <c r="Q287" s="410"/>
      <c r="R287" s="18"/>
    </row>
    <row r="288" spans="1:18" ht="15.75" thickBot="1" x14ac:dyDescent="0.3">
      <c r="A288" s="19"/>
      <c r="B288" s="92" t="s">
        <v>98</v>
      </c>
      <c r="D288" s="46" t="str">
        <f>IF('City 21'!$AJ$42&lt;&gt;0,'City 21'!$AJ$42," ")</f>
        <v xml:space="preserve"> </v>
      </c>
      <c r="F288" s="414" t="str">
        <f>(IF('City 21'!$T$12&gt;0,'City 21'!$P$12,(IF('City 21'!$D$20&gt;0,'City 21'!$B$34,(IF('City 21'!$AJ$32&gt;0,'City 21'!$AF$32,(IF('City 21'!$AJ$18&gt;0,'City 21'!$AF$18,(IF('City 21'!$T$14&gt;0,'City 21'!$P$14,(IF('City 21'!$T$32&gt;0,'City 21'!$P$32,(IF('City 21'!$AJ$16&gt;0,'City 21'!$AF$16,(IF('City 21'!$D$20&gt;0,'City 21'!$B$20," "))))))))))))))))</f>
        <v xml:space="preserve"> </v>
      </c>
      <c r="G288" s="415"/>
      <c r="H288" s="416"/>
      <c r="I288" s="18"/>
      <c r="J288" s="19"/>
      <c r="K288" s="92" t="s">
        <v>98</v>
      </c>
      <c r="M288" s="46" t="str">
        <f>IF('City 22'!$AJ$42&lt;&gt;0,'City 22'!$AJ$42," ")</f>
        <v xml:space="preserve"> </v>
      </c>
      <c r="O288" s="414" t="str">
        <f>(IF('City 22'!$T$12&gt;0,'City 22'!$P$12,(IF('City 22'!$D$20&gt;0,'City 22'!$B$34,(IF('City 22'!$AJ$32&gt;0,'City 22'!$AF$32,(IF('City 22'!$AJ$18&gt;0,'City 22'!$AF$18,(IF('City 22'!$T$14&gt;0,'City 22'!$P$14,(IF('City 22'!$T$32&gt;0,'City 22'!$P$32,(IF('City 22'!$AJ$16&gt;0,'City 22'!$AF$16,(IF('City 22'!$D$20&gt;0,'City 22'!$B$20," "))))))))))))))))</f>
        <v xml:space="preserve"> </v>
      </c>
      <c r="P288" s="415"/>
      <c r="Q288" s="416"/>
      <c r="R288" s="18"/>
    </row>
    <row r="289" spans="1:18" ht="3" customHeight="1" x14ac:dyDescent="0.25">
      <c r="A289" s="19"/>
      <c r="B289" s="5"/>
      <c r="D289" s="5"/>
      <c r="F289" s="5"/>
      <c r="H289" s="5"/>
      <c r="I289" s="18"/>
      <c r="J289" s="19"/>
      <c r="K289" s="5"/>
      <c r="M289" s="5"/>
      <c r="O289" s="5"/>
      <c r="Q289" s="5"/>
      <c r="R289" s="18"/>
    </row>
    <row r="290" spans="1:18" x14ac:dyDescent="0.25">
      <c r="A290" s="19"/>
      <c r="B290" s="359" t="s">
        <v>104</v>
      </c>
      <c r="C290" s="417"/>
      <c r="D290" s="417"/>
      <c r="E290" s="405"/>
      <c r="F290" s="405"/>
      <c r="G290" s="405"/>
      <c r="H290" s="405"/>
      <c r="I290" s="18"/>
      <c r="J290" s="19"/>
      <c r="K290" s="359" t="s">
        <v>104</v>
      </c>
      <c r="L290" s="417"/>
      <c r="M290" s="417"/>
      <c r="N290" s="405"/>
      <c r="O290" s="405"/>
      <c r="P290" s="405"/>
      <c r="Q290" s="405"/>
      <c r="R290" s="18"/>
    </row>
    <row r="291" spans="1:18" ht="3" customHeight="1" thickBot="1" x14ac:dyDescent="0.3">
      <c r="A291" s="19"/>
      <c r="B291" s="5"/>
      <c r="D291" s="5"/>
      <c r="F291" s="5"/>
      <c r="H291" s="5"/>
      <c r="I291" s="18"/>
      <c r="J291" s="19"/>
      <c r="K291" s="5"/>
      <c r="M291" s="5"/>
      <c r="O291" s="5"/>
      <c r="Q291" s="5"/>
      <c r="R291" s="18"/>
    </row>
    <row r="292" spans="1:18" x14ac:dyDescent="0.25">
      <c r="A292" s="19"/>
      <c r="B292" s="418" t="str">
        <f>IF('City 21'!$B$58&lt;&gt;0,'City 21'!$B$58," ")</f>
        <v xml:space="preserve"> </v>
      </c>
      <c r="C292" s="419"/>
      <c r="D292" s="419"/>
      <c r="E292" s="419"/>
      <c r="F292" s="419"/>
      <c r="G292" s="419"/>
      <c r="H292" s="420"/>
      <c r="I292" s="18"/>
      <c r="J292" s="19"/>
      <c r="K292" s="418" t="str">
        <f>IF('City 22'!$B$58&lt;&gt;0,'City 22'!$B$58," ")</f>
        <v xml:space="preserve"> </v>
      </c>
      <c r="L292" s="419"/>
      <c r="M292" s="419"/>
      <c r="N292" s="419"/>
      <c r="O292" s="419"/>
      <c r="P292" s="419"/>
      <c r="Q292" s="420"/>
      <c r="R292" s="18"/>
    </row>
    <row r="293" spans="1:18" ht="3" customHeight="1" x14ac:dyDescent="0.25">
      <c r="A293" s="19"/>
      <c r="B293" s="421"/>
      <c r="C293" s="422"/>
      <c r="D293" s="422"/>
      <c r="E293" s="422"/>
      <c r="F293" s="422"/>
      <c r="G293" s="422"/>
      <c r="H293" s="423"/>
      <c r="I293" s="18"/>
      <c r="J293" s="19"/>
      <c r="K293" s="421"/>
      <c r="L293" s="422"/>
      <c r="M293" s="422"/>
      <c r="N293" s="422"/>
      <c r="O293" s="422"/>
      <c r="P293" s="422"/>
      <c r="Q293" s="423"/>
      <c r="R293" s="18"/>
    </row>
    <row r="294" spans="1:18" x14ac:dyDescent="0.25">
      <c r="A294" s="19"/>
      <c r="B294" s="421"/>
      <c r="C294" s="422"/>
      <c r="D294" s="422"/>
      <c r="E294" s="422"/>
      <c r="F294" s="422"/>
      <c r="G294" s="422"/>
      <c r="H294" s="423"/>
      <c r="I294" s="18"/>
      <c r="J294" s="19"/>
      <c r="K294" s="421"/>
      <c r="L294" s="422"/>
      <c r="M294" s="422"/>
      <c r="N294" s="422"/>
      <c r="O294" s="422"/>
      <c r="P294" s="422"/>
      <c r="Q294" s="423"/>
      <c r="R294" s="18"/>
    </row>
    <row r="295" spans="1:18" x14ac:dyDescent="0.25">
      <c r="A295" s="19"/>
      <c r="B295" s="421"/>
      <c r="C295" s="422"/>
      <c r="D295" s="422"/>
      <c r="E295" s="422"/>
      <c r="F295" s="422"/>
      <c r="G295" s="422"/>
      <c r="H295" s="423"/>
      <c r="I295" s="18"/>
      <c r="J295" s="19"/>
      <c r="K295" s="421"/>
      <c r="L295" s="422"/>
      <c r="M295" s="422"/>
      <c r="N295" s="422"/>
      <c r="O295" s="422"/>
      <c r="P295" s="422"/>
      <c r="Q295" s="423"/>
      <c r="R295" s="18"/>
    </row>
    <row r="296" spans="1:18" ht="15.75" thickBot="1" x14ac:dyDescent="0.3">
      <c r="A296" s="19"/>
      <c r="B296" s="424"/>
      <c r="C296" s="425"/>
      <c r="D296" s="425"/>
      <c r="E296" s="425"/>
      <c r="F296" s="425"/>
      <c r="G296" s="425"/>
      <c r="H296" s="426"/>
      <c r="I296" s="18"/>
      <c r="J296" s="19"/>
      <c r="K296" s="424"/>
      <c r="L296" s="425"/>
      <c r="M296" s="425"/>
      <c r="N296" s="425"/>
      <c r="O296" s="425"/>
      <c r="P296" s="425"/>
      <c r="Q296" s="426"/>
      <c r="R296" s="18"/>
    </row>
    <row r="297" spans="1:18" ht="5.0999999999999996" customHeight="1" thickBot="1" x14ac:dyDescent="0.3">
      <c r="A297" s="34"/>
      <c r="B297" s="4"/>
      <c r="C297" s="28"/>
      <c r="D297" s="4"/>
      <c r="E297" s="4"/>
      <c r="F297" s="4"/>
      <c r="G297" s="28"/>
      <c r="H297" s="4"/>
      <c r="I297" s="29"/>
      <c r="J297" s="34"/>
      <c r="K297" s="4"/>
      <c r="L297" s="28"/>
      <c r="M297" s="4"/>
      <c r="N297" s="4"/>
      <c r="O297" s="4"/>
      <c r="P297" s="28"/>
      <c r="Q297" s="4"/>
      <c r="R297" s="29"/>
    </row>
    <row r="298" spans="1:18" ht="5.0999999999999996" customHeight="1" thickBot="1" x14ac:dyDescent="0.3">
      <c r="A298" s="12"/>
      <c r="B298" s="14"/>
      <c r="C298" s="13"/>
      <c r="D298" s="14"/>
      <c r="E298" s="14"/>
      <c r="F298" s="14"/>
      <c r="G298" s="13"/>
      <c r="H298" s="14"/>
      <c r="I298" s="15"/>
      <c r="J298" s="12"/>
      <c r="K298" s="14"/>
      <c r="L298" s="13"/>
      <c r="M298" s="14"/>
      <c r="N298" s="14"/>
      <c r="O298" s="14"/>
      <c r="P298" s="13"/>
      <c r="Q298" s="14"/>
      <c r="R298" s="15"/>
    </row>
    <row r="299" spans="1:18" ht="15.75" thickBot="1" x14ac:dyDescent="0.3">
      <c r="A299" s="19"/>
      <c r="B299" s="69" t="s">
        <v>83</v>
      </c>
      <c r="C299" s="61"/>
      <c r="D299" s="411" t="str">
        <f>IF('City 23'!$D$2&lt;&gt;0,'City 23'!$D$2," ")</f>
        <v xml:space="preserve"> </v>
      </c>
      <c r="E299" s="412"/>
      <c r="F299" s="412"/>
      <c r="G299" s="412"/>
      <c r="H299" s="413"/>
      <c r="I299" s="18"/>
      <c r="J299" s="19"/>
      <c r="K299" s="69" t="s">
        <v>83</v>
      </c>
      <c r="L299" s="61"/>
      <c r="M299" s="411" t="str">
        <f>IF('City 24'!$D$2&lt;&gt;0,'City 24'!$D$2," ")</f>
        <v xml:space="preserve"> </v>
      </c>
      <c r="N299" s="412"/>
      <c r="O299" s="412"/>
      <c r="P299" s="412"/>
      <c r="Q299" s="413"/>
      <c r="R299" s="18"/>
    </row>
    <row r="300" spans="1:18" s="1" customFormat="1" ht="3" customHeight="1" thickBot="1" x14ac:dyDescent="0.3">
      <c r="A300" s="33"/>
      <c r="B300" s="61"/>
      <c r="C300" s="61"/>
      <c r="D300" s="45"/>
      <c r="E300" s="11"/>
      <c r="F300" s="61"/>
      <c r="G300" s="61"/>
      <c r="H300" s="11"/>
      <c r="I300" s="22"/>
      <c r="J300" s="33"/>
      <c r="K300" s="61"/>
      <c r="L300" s="61"/>
      <c r="M300" s="45"/>
      <c r="N300" s="11"/>
      <c r="O300" s="61"/>
      <c r="P300" s="61"/>
      <c r="Q300" s="11"/>
      <c r="R300" s="22"/>
    </row>
    <row r="301" spans="1:18" ht="15.75" thickBot="1" x14ac:dyDescent="0.3">
      <c r="A301" s="19"/>
      <c r="B301" s="92" t="s">
        <v>49</v>
      </c>
      <c r="C301" s="62"/>
      <c r="D301" s="46" t="str">
        <f>IF('City 23'!$D$4&lt;&gt;0,'City 23'!$D$4," ")</f>
        <v xml:space="preserve"> </v>
      </c>
      <c r="E301" s="81"/>
      <c r="F301" s="92" t="s">
        <v>43</v>
      </c>
      <c r="G301" s="62"/>
      <c r="H301" s="46" t="str">
        <f>IF('City 23'!$T$6&lt;&gt;0,'City 23'!$T$6," ")</f>
        <v xml:space="preserve"> </v>
      </c>
      <c r="I301" s="18"/>
      <c r="J301" s="19"/>
      <c r="K301" s="92" t="s">
        <v>49</v>
      </c>
      <c r="L301" s="62"/>
      <c r="M301" s="46" t="str">
        <f>IF('City 24'!$D$4&lt;&gt;0,'City 24'!$D$4," ")</f>
        <v xml:space="preserve"> </v>
      </c>
      <c r="N301" s="81"/>
      <c r="O301" s="92" t="s">
        <v>43</v>
      </c>
      <c r="P301" s="62"/>
      <c r="Q301" s="46" t="str">
        <f>IF('City 24'!$T$6&lt;&gt;0,'City 24'!$T$6," ")</f>
        <v xml:space="preserve"> </v>
      </c>
      <c r="R301" s="18"/>
    </row>
    <row r="302" spans="1:18" s="1" customFormat="1" ht="3" customHeight="1" thickBot="1" x14ac:dyDescent="0.3">
      <c r="A302" s="33"/>
      <c r="B302" s="61"/>
      <c r="C302" s="61"/>
      <c r="D302" s="21"/>
      <c r="E302" s="21"/>
      <c r="F302" s="11"/>
      <c r="G302" s="11"/>
      <c r="H302" s="11"/>
      <c r="I302" s="22"/>
      <c r="J302" s="33"/>
      <c r="K302" s="61"/>
      <c r="L302" s="61"/>
      <c r="M302" s="21"/>
      <c r="N302" s="21"/>
      <c r="O302" s="11"/>
      <c r="P302" s="11"/>
      <c r="Q302" s="11"/>
      <c r="R302" s="22"/>
    </row>
    <row r="303" spans="1:18" ht="15.75" thickBot="1" x14ac:dyDescent="0.3">
      <c r="A303" s="19"/>
      <c r="B303" s="92" t="s">
        <v>50</v>
      </c>
      <c r="C303" s="62"/>
      <c r="D303" s="46" t="str">
        <f>IF('City 23'!$D$6&lt;&gt;0,'City 23'!$D$6," ")</f>
        <v xml:space="preserve"> </v>
      </c>
      <c r="E303" s="81"/>
      <c r="F303" s="92" t="s">
        <v>95</v>
      </c>
      <c r="G303" s="62"/>
      <c r="H303" s="46">
        <f>IF('City 23'!$AJ$4&lt;&gt;0,'City 23'!$AJ$4,0)</f>
        <v>0</v>
      </c>
      <c r="I303" s="18"/>
      <c r="J303" s="19"/>
      <c r="K303" s="92" t="s">
        <v>50</v>
      </c>
      <c r="L303" s="62"/>
      <c r="M303" s="46" t="str">
        <f>IF('City 24'!$D$6&lt;&gt;0,'City 24'!$D$6," ")</f>
        <v xml:space="preserve"> </v>
      </c>
      <c r="N303" s="81"/>
      <c r="O303" s="92" t="s">
        <v>95</v>
      </c>
      <c r="P303" s="62"/>
      <c r="Q303" s="46">
        <f>IF('City 24'!$AJ$4&lt;&gt;0,'City 24'!$AJ$4,0)</f>
        <v>0</v>
      </c>
      <c r="R303" s="18"/>
    </row>
    <row r="304" spans="1:18" s="1" customFormat="1" ht="3" customHeight="1" thickBot="1" x14ac:dyDescent="0.3">
      <c r="A304" s="33"/>
      <c r="B304" s="61"/>
      <c r="C304" s="61"/>
      <c r="D304" s="21"/>
      <c r="E304" s="21"/>
      <c r="F304" s="11"/>
      <c r="G304" s="11"/>
      <c r="H304" s="11"/>
      <c r="I304" s="22"/>
      <c r="J304" s="33"/>
      <c r="K304" s="61"/>
      <c r="L304" s="61"/>
      <c r="M304" s="21"/>
      <c r="N304" s="21"/>
      <c r="O304" s="11"/>
      <c r="P304" s="11"/>
      <c r="Q304" s="11"/>
      <c r="R304" s="22"/>
    </row>
    <row r="305" spans="1:18" ht="15.75" thickBot="1" x14ac:dyDescent="0.3">
      <c r="A305" s="19"/>
      <c r="B305" s="92" t="s">
        <v>51</v>
      </c>
      <c r="C305" s="62"/>
      <c r="D305" s="46" t="str">
        <f>IF('City 23'!$T$4&lt;&gt;0,'City 23'!$T$4," ")</f>
        <v xml:space="preserve"> </v>
      </c>
      <c r="E305" s="81"/>
      <c r="F305" s="359" t="s">
        <v>148</v>
      </c>
      <c r="G305" s="417"/>
      <c r="H305" s="417"/>
      <c r="I305" s="18"/>
      <c r="J305" s="19"/>
      <c r="K305" s="92" t="s">
        <v>51</v>
      </c>
      <c r="L305" s="62"/>
      <c r="M305" s="46" t="str">
        <f>IF('City 24'!$T$4&lt;&gt;0,'City 24'!$T$4," ")</f>
        <v xml:space="preserve"> </v>
      </c>
      <c r="N305" s="81"/>
      <c r="O305" s="359" t="s">
        <v>148</v>
      </c>
      <c r="P305" s="417"/>
      <c r="Q305" s="417"/>
      <c r="R305" s="18"/>
    </row>
    <row r="306" spans="1:18" s="1" customFormat="1" ht="3" customHeight="1" thickBot="1" x14ac:dyDescent="0.3">
      <c r="A306" s="33"/>
      <c r="B306" s="62"/>
      <c r="C306" s="62"/>
      <c r="D306" s="21"/>
      <c r="E306" s="21"/>
      <c r="F306" s="5"/>
      <c r="G306" s="11"/>
      <c r="H306" s="5"/>
      <c r="I306" s="22"/>
      <c r="J306" s="33"/>
      <c r="K306" s="62"/>
      <c r="L306" s="62"/>
      <c r="M306" s="21"/>
      <c r="N306" s="21"/>
      <c r="O306" s="5"/>
      <c r="P306" s="11"/>
      <c r="Q306" s="5"/>
      <c r="R306" s="22"/>
    </row>
    <row r="307" spans="1:18" x14ac:dyDescent="0.25">
      <c r="A307" s="19"/>
      <c r="B307" s="359" t="s">
        <v>149</v>
      </c>
      <c r="C307" s="417"/>
      <c r="D307" s="417"/>
      <c r="E307" s="81"/>
      <c r="F307" s="427" t="str">
        <f>IF('City 23'!$D$26&gt;0, 'City 23'!$B$26, (IF('City 23'!$D$36&gt;0, 'City 23'!$B$36, (IF('City 23'!$D$16&gt;0, 'City 23'!$B$36, (IF('City 23'!$AJ$34&gt;0, 'City 23'!$AF$34," ")))))))</f>
        <v xml:space="preserve"> </v>
      </c>
      <c r="G307" s="428"/>
      <c r="H307" s="429"/>
      <c r="I307" s="18"/>
      <c r="J307" s="19"/>
      <c r="K307" s="359" t="s">
        <v>149</v>
      </c>
      <c r="L307" s="417"/>
      <c r="M307" s="417"/>
      <c r="N307" s="81"/>
      <c r="O307" s="427" t="str">
        <f>IF('City 24'!$D$26&gt;0, 'City 24'!$B$26, (IF('City 24'!$D$36&gt;0, 'City 24'!$B$36, (IF('City 24'!$D$16&gt;0, 'City 24'!$B$36, (IF('City 24'!$AJ$34&gt;0, 'City 24'!$AF$34," ")))))))</f>
        <v xml:space="preserve"> </v>
      </c>
      <c r="P307" s="428"/>
      <c r="Q307" s="429"/>
      <c r="R307" s="18"/>
    </row>
    <row r="308" spans="1:18" s="1" customFormat="1" ht="3" customHeight="1" thickBot="1" x14ac:dyDescent="0.3">
      <c r="A308" s="33"/>
      <c r="B308" s="5"/>
      <c r="C308" s="11"/>
      <c r="D308" s="5"/>
      <c r="E308" s="21"/>
      <c r="F308" s="409"/>
      <c r="G308" s="405"/>
      <c r="H308" s="410"/>
      <c r="I308" s="22"/>
      <c r="J308" s="33"/>
      <c r="K308" s="5"/>
      <c r="L308" s="11"/>
      <c r="M308" s="5"/>
      <c r="N308" s="21"/>
      <c r="O308" s="409"/>
      <c r="P308" s="405"/>
      <c r="Q308" s="410"/>
      <c r="R308" s="22"/>
    </row>
    <row r="309" spans="1:18" ht="15.75" thickBot="1" x14ac:dyDescent="0.3">
      <c r="A309" s="19"/>
      <c r="B309" s="92" t="s">
        <v>96</v>
      </c>
      <c r="C309" s="62"/>
      <c r="D309" s="46" t="str">
        <f>IF('City 23'!$AJ$2&lt;&gt;0,'City 23'!$AJ$2," ")</f>
        <v xml:space="preserve"> </v>
      </c>
      <c r="E309" s="81"/>
      <c r="F309" s="409" t="str">
        <f>(IF('City 23'!$D$28&gt;0, 'City 23'!$B$28, (IF('City 23'!$AJ$24&gt;0, 'City 23'!$AF$24, (IF('City 23'!$AJ$14&gt;0, 'City 23'!$AF$14," "))))))</f>
        <v xml:space="preserve"> </v>
      </c>
      <c r="G309" s="405"/>
      <c r="H309" s="410"/>
      <c r="I309" s="18"/>
      <c r="J309" s="19"/>
      <c r="K309" s="92" t="s">
        <v>96</v>
      </c>
      <c r="L309" s="62"/>
      <c r="M309" s="46" t="str">
        <f>IF('City 24'!$AJ$2&lt;&gt;0,'City 24'!$AJ$2," ")</f>
        <v xml:space="preserve"> </v>
      </c>
      <c r="N309" s="81"/>
      <c r="O309" s="409" t="str">
        <f>(IF('City 24'!$D$28&gt;0, 'City 24'!$B$28, (IF('City 24'!$AJ$24&gt;0, 'City 24'!$AF$24, (IF('City 24'!$AJ$14&gt;0, 'City 24'!$AF$14," "))))))</f>
        <v xml:space="preserve"> </v>
      </c>
      <c r="P309" s="405"/>
      <c r="Q309" s="410"/>
      <c r="R309" s="18"/>
    </row>
    <row r="310" spans="1:18" s="1" customFormat="1" ht="3" customHeight="1" thickBot="1" x14ac:dyDescent="0.3">
      <c r="A310" s="33"/>
      <c r="B310" s="5"/>
      <c r="C310" s="11"/>
      <c r="D310" s="5"/>
      <c r="E310" s="45"/>
      <c r="F310" s="409"/>
      <c r="G310" s="405"/>
      <c r="H310" s="410"/>
      <c r="I310" s="22"/>
      <c r="J310" s="33"/>
      <c r="K310" s="5"/>
      <c r="L310" s="11"/>
      <c r="M310" s="5"/>
      <c r="N310" s="45"/>
      <c r="O310" s="409"/>
      <c r="P310" s="405"/>
      <c r="Q310" s="410"/>
      <c r="R310" s="22"/>
    </row>
    <row r="311" spans="1:18" ht="15.75" thickBot="1" x14ac:dyDescent="0.3">
      <c r="A311" s="19"/>
      <c r="B311" s="92" t="s">
        <v>97</v>
      </c>
      <c r="D311" s="46" t="str">
        <f>IF('City 23'!$D$42&lt;&gt;0,'City 23'!$D$42," ")</f>
        <v xml:space="preserve"> </v>
      </c>
      <c r="F311" s="409" t="str">
        <f>(IF('City 23'!$D$14&gt;0, 'City 23'!$B$14, (IF('City 23'!$AJ$28&gt;0, 'City 23'!$AF$28, (IF('City 23'!$AJ$22&gt;0, 'City 23'!$AF$22, (IF('City 23'!$T$18&gt;0, 'City 23'!$P$18, (IF('City 23'!$D$22&gt;0, 'City 23'!$B$22, (IF('City 23'!$T$38&gt;0, 'City 23'!$P$38," "))))))))))))</f>
        <v xml:space="preserve"> </v>
      </c>
      <c r="G311" s="405"/>
      <c r="H311" s="410"/>
      <c r="I311" s="18"/>
      <c r="J311" s="19"/>
      <c r="K311" s="92" t="s">
        <v>97</v>
      </c>
      <c r="M311" s="46" t="str">
        <f>IF('City 24'!$D$42&lt;&gt;0,'City 24'!$D$42," ")</f>
        <v xml:space="preserve"> </v>
      </c>
      <c r="O311" s="409" t="str">
        <f>(IF('City 24'!$D$14&gt;0, 'City 24'!$B$14, (IF('City 24'!$AJ$28&gt;0, 'City 24'!$AF$28, (IF('City 24'!$AJ$22&gt;0, 'City 24'!$AF$22, (IF('City 24'!$T$18&gt;0, 'City 24'!$P$18, (IF('City 24'!$D$22&gt;0, 'City 24'!$B$22, (IF('City 24'!$T$38&gt;0, 'City 24'!$P$38," "))))))))))))</f>
        <v xml:space="preserve"> </v>
      </c>
      <c r="P311" s="405"/>
      <c r="Q311" s="410"/>
      <c r="R311" s="18"/>
    </row>
    <row r="312" spans="1:18" ht="3" customHeight="1" thickBot="1" x14ac:dyDescent="0.3">
      <c r="A312" s="19"/>
      <c r="B312" s="5"/>
      <c r="D312" s="5"/>
      <c r="F312" s="409"/>
      <c r="G312" s="405"/>
      <c r="H312" s="410"/>
      <c r="I312" s="18"/>
      <c r="J312" s="19"/>
      <c r="K312" s="5"/>
      <c r="M312" s="5"/>
      <c r="O312" s="409"/>
      <c r="P312" s="405"/>
      <c r="Q312" s="410"/>
      <c r="R312" s="18"/>
    </row>
    <row r="313" spans="1:18" ht="15.75" thickBot="1" x14ac:dyDescent="0.3">
      <c r="A313" s="19"/>
      <c r="B313" s="92" t="s">
        <v>152</v>
      </c>
      <c r="D313" s="46" t="str">
        <f>IF('City 23'!$T$42&lt;&gt;0,'City 23'!$T$42," ")</f>
        <v xml:space="preserve"> </v>
      </c>
      <c r="F313" s="409" t="str">
        <f>(IF('City 23'!$AJ$36&gt;0,'City 23'!$AF$36,(IF('City 23'!$T$26&gt;0,'City 23'!$P$26,(IF('City 23'!$T$30&gt;0,'City 23'!$P$30,(IF('City 23'!$D$18&gt;0,'City 23'!$B$18,(IF('City 23'!$T$24&gt;0,'City 23'!$P$24,(IF('City 23'!$AJ$12&gt;0,'City 23'!$AF$12," "))))))))))))</f>
        <v xml:space="preserve"> </v>
      </c>
      <c r="G313" s="405"/>
      <c r="H313" s="410"/>
      <c r="I313" s="18"/>
      <c r="J313" s="19"/>
      <c r="K313" s="92" t="s">
        <v>152</v>
      </c>
      <c r="M313" s="46" t="str">
        <f>IF('City 24'!$T$42&lt;&gt;0,'City 24'!$T$42," ")</f>
        <v xml:space="preserve"> </v>
      </c>
      <c r="O313" s="409" t="str">
        <f>(IF('City 24'!$AJ$36&gt;0,'City 24'!$AF$36,(IF('City 24'!$T$26&gt;0,'City 24'!$P$26,(IF('City 24'!$T$30&gt;0,'City 24'!$P$30,(IF('City 24'!$D$18&gt;0,'City 24'!$B$18,(IF('City 24'!$T$24&gt;0,'City 24'!$P$24,(IF('City 24'!$AJ$12&gt;0,'City 24'!$AF$12," "))))))))))))</f>
        <v xml:space="preserve"> </v>
      </c>
      <c r="P313" s="405"/>
      <c r="Q313" s="410"/>
      <c r="R313" s="18"/>
    </row>
    <row r="314" spans="1:18" ht="3" customHeight="1" thickBot="1" x14ac:dyDescent="0.3">
      <c r="A314" s="19"/>
      <c r="B314" s="5"/>
      <c r="D314" s="5"/>
      <c r="F314" s="409"/>
      <c r="G314" s="405"/>
      <c r="H314" s="410"/>
      <c r="I314" s="18"/>
      <c r="J314" s="19"/>
      <c r="K314" s="5"/>
      <c r="M314" s="5"/>
      <c r="O314" s="409"/>
      <c r="P314" s="405"/>
      <c r="Q314" s="410"/>
      <c r="R314" s="18"/>
    </row>
    <row r="315" spans="1:18" ht="15.75" thickBot="1" x14ac:dyDescent="0.3">
      <c r="A315" s="19"/>
      <c r="B315" s="92" t="s">
        <v>98</v>
      </c>
      <c r="D315" s="46" t="str">
        <f>IF('City 23'!$AJ$42&lt;&gt;0,'City 23'!$AJ$42," ")</f>
        <v xml:space="preserve"> </v>
      </c>
      <c r="F315" s="414" t="str">
        <f>(IF('City 23'!$T$12&gt;0,'City 23'!$P$12,(IF('City 23'!$D$20&gt;0,'City 23'!$B$34,(IF('City 23'!$AJ$32&gt;0,'City 23'!$AF$32,(IF('City 23'!$AJ$18&gt;0,'City 23'!$AF$18,(IF('City 23'!$T$14&gt;0,'City 23'!$P$14,(IF('City 23'!$T$32&gt;0,'City 23'!$P$32,(IF('City 23'!$AJ$16&gt;0,'City 23'!$AF$16,(IF('City 23'!$D$20&gt;0,'City 23'!$B$20," "))))))))))))))))</f>
        <v xml:space="preserve"> </v>
      </c>
      <c r="G315" s="415"/>
      <c r="H315" s="416"/>
      <c r="I315" s="18"/>
      <c r="J315" s="19"/>
      <c r="K315" s="92" t="s">
        <v>98</v>
      </c>
      <c r="M315" s="46" t="str">
        <f>IF('City 24'!$AJ$42&lt;&gt;0,'City 24'!$AJ$42," ")</f>
        <v xml:space="preserve"> </v>
      </c>
      <c r="O315" s="414" t="str">
        <f>(IF('City 24'!$T$12&gt;0,'City 24'!$P$12,(IF('City 24'!$D$20&gt;0,'City 24'!$B$34,(IF('City 24'!$AJ$32&gt;0,'City 24'!$AF$32,(IF('City 24'!$AJ$18&gt;0,'City 24'!$AF$18,(IF('City 24'!$T$14&gt;0,'City 24'!$P$14,(IF('City 24'!$T$32&gt;0,'City 24'!$P$32,(IF('City 24'!$AJ$16&gt;0,'City 24'!$AF$16,(IF('City 24'!$D$20&gt;0,'City 24'!$B$20," "))))))))))))))))</f>
        <v xml:space="preserve"> </v>
      </c>
      <c r="P315" s="415"/>
      <c r="Q315" s="416"/>
      <c r="R315" s="18"/>
    </row>
    <row r="316" spans="1:18" ht="3" customHeight="1" x14ac:dyDescent="0.25">
      <c r="A316" s="19"/>
      <c r="B316" s="5"/>
      <c r="D316" s="5"/>
      <c r="F316" s="5"/>
      <c r="H316" s="5"/>
      <c r="I316" s="18"/>
      <c r="J316" s="19"/>
      <c r="K316" s="5"/>
      <c r="M316" s="5"/>
      <c r="O316" s="5"/>
      <c r="Q316" s="5"/>
      <c r="R316" s="18"/>
    </row>
    <row r="317" spans="1:18" x14ac:dyDescent="0.25">
      <c r="A317" s="19"/>
      <c r="B317" s="359" t="s">
        <v>104</v>
      </c>
      <c r="C317" s="417"/>
      <c r="D317" s="417"/>
      <c r="E317" s="405"/>
      <c r="F317" s="405"/>
      <c r="G317" s="405"/>
      <c r="H317" s="405"/>
      <c r="I317" s="18"/>
      <c r="J317" s="19"/>
      <c r="K317" s="359" t="s">
        <v>104</v>
      </c>
      <c r="L317" s="417"/>
      <c r="M317" s="417"/>
      <c r="N317" s="405"/>
      <c r="O317" s="405"/>
      <c r="P317" s="405"/>
      <c r="Q317" s="405"/>
      <c r="R317" s="18"/>
    </row>
    <row r="318" spans="1:18" ht="3" customHeight="1" thickBot="1" x14ac:dyDescent="0.3">
      <c r="A318" s="19"/>
      <c r="B318" s="5"/>
      <c r="D318" s="5"/>
      <c r="F318" s="5"/>
      <c r="H318" s="5"/>
      <c r="I318" s="18"/>
      <c r="J318" s="19"/>
      <c r="K318" s="5"/>
      <c r="M318" s="5"/>
      <c r="O318" s="5"/>
      <c r="Q318" s="5"/>
      <c r="R318" s="18"/>
    </row>
    <row r="319" spans="1:18" x14ac:dyDescent="0.25">
      <c r="A319" s="19"/>
      <c r="B319" s="418" t="str">
        <f>IF('City 23'!$B$58&lt;&gt;0,'City 23'!$B$58," ")</f>
        <v xml:space="preserve"> </v>
      </c>
      <c r="C319" s="419"/>
      <c r="D319" s="419"/>
      <c r="E319" s="419"/>
      <c r="F319" s="419"/>
      <c r="G319" s="419"/>
      <c r="H319" s="420"/>
      <c r="I319" s="18"/>
      <c r="J319" s="19"/>
      <c r="K319" s="418" t="str">
        <f>IF('City 24'!$B$58&lt;&gt;0,'City 24'!$B$58," ")</f>
        <v xml:space="preserve"> </v>
      </c>
      <c r="L319" s="419"/>
      <c r="M319" s="419"/>
      <c r="N319" s="419"/>
      <c r="O319" s="419"/>
      <c r="P319" s="419"/>
      <c r="Q319" s="420"/>
      <c r="R319" s="18"/>
    </row>
    <row r="320" spans="1:18" ht="3" customHeight="1" x14ac:dyDescent="0.25">
      <c r="A320" s="19"/>
      <c r="B320" s="421"/>
      <c r="C320" s="422"/>
      <c r="D320" s="422"/>
      <c r="E320" s="422"/>
      <c r="F320" s="422"/>
      <c r="G320" s="422"/>
      <c r="H320" s="423"/>
      <c r="I320" s="18"/>
      <c r="J320" s="19"/>
      <c r="K320" s="421"/>
      <c r="L320" s="422"/>
      <c r="M320" s="422"/>
      <c r="N320" s="422"/>
      <c r="O320" s="422"/>
      <c r="P320" s="422"/>
      <c r="Q320" s="423"/>
      <c r="R320" s="18"/>
    </row>
    <row r="321" spans="1:18" x14ac:dyDescent="0.25">
      <c r="A321" s="19"/>
      <c r="B321" s="421"/>
      <c r="C321" s="422"/>
      <c r="D321" s="422"/>
      <c r="E321" s="422"/>
      <c r="F321" s="422"/>
      <c r="G321" s="422"/>
      <c r="H321" s="423"/>
      <c r="I321" s="18"/>
      <c r="J321" s="19"/>
      <c r="K321" s="421"/>
      <c r="L321" s="422"/>
      <c r="M321" s="422"/>
      <c r="N321" s="422"/>
      <c r="O321" s="422"/>
      <c r="P321" s="422"/>
      <c r="Q321" s="423"/>
      <c r="R321" s="18"/>
    </row>
    <row r="322" spans="1:18" x14ac:dyDescent="0.25">
      <c r="A322" s="19"/>
      <c r="B322" s="421"/>
      <c r="C322" s="422"/>
      <c r="D322" s="422"/>
      <c r="E322" s="422"/>
      <c r="F322" s="422"/>
      <c r="G322" s="422"/>
      <c r="H322" s="423"/>
      <c r="I322" s="18"/>
      <c r="J322" s="19"/>
      <c r="K322" s="421"/>
      <c r="L322" s="422"/>
      <c r="M322" s="422"/>
      <c r="N322" s="422"/>
      <c r="O322" s="422"/>
      <c r="P322" s="422"/>
      <c r="Q322" s="423"/>
      <c r="R322" s="18"/>
    </row>
    <row r="323" spans="1:18" ht="15.75" thickBot="1" x14ac:dyDescent="0.3">
      <c r="A323" s="19"/>
      <c r="B323" s="424"/>
      <c r="C323" s="425"/>
      <c r="D323" s="425"/>
      <c r="E323" s="425"/>
      <c r="F323" s="425"/>
      <c r="G323" s="425"/>
      <c r="H323" s="426"/>
      <c r="I323" s="18"/>
      <c r="J323" s="19"/>
      <c r="K323" s="424"/>
      <c r="L323" s="425"/>
      <c r="M323" s="425"/>
      <c r="N323" s="425"/>
      <c r="O323" s="425"/>
      <c r="P323" s="425"/>
      <c r="Q323" s="426"/>
      <c r="R323" s="18"/>
    </row>
    <row r="324" spans="1:18" ht="5.0999999999999996" customHeight="1" thickBot="1" x14ac:dyDescent="0.3">
      <c r="A324" s="34"/>
      <c r="B324" s="4"/>
      <c r="C324" s="28"/>
      <c r="D324" s="4"/>
      <c r="E324" s="4"/>
      <c r="F324" s="4"/>
      <c r="G324" s="28"/>
      <c r="H324" s="4"/>
      <c r="I324" s="29"/>
      <c r="J324" s="34"/>
      <c r="K324" s="4"/>
      <c r="L324" s="28"/>
      <c r="M324" s="4"/>
      <c r="N324" s="4"/>
      <c r="O324" s="4"/>
      <c r="P324" s="28"/>
      <c r="Q324" s="4"/>
      <c r="R324" s="29"/>
    </row>
    <row r="325" spans="1:18" ht="5.0999999999999996" customHeight="1" thickBot="1" x14ac:dyDescent="0.3">
      <c r="A325" s="12"/>
      <c r="B325" s="14"/>
      <c r="C325" s="13"/>
      <c r="D325" s="14"/>
      <c r="E325" s="14"/>
      <c r="F325" s="14"/>
      <c r="G325" s="13"/>
      <c r="H325" s="14"/>
      <c r="I325" s="15"/>
      <c r="J325" s="76"/>
      <c r="K325" s="13"/>
      <c r="L325" s="13"/>
      <c r="M325" s="13"/>
      <c r="N325" s="13"/>
      <c r="O325" s="13"/>
      <c r="P325" s="13"/>
      <c r="Q325" s="13"/>
      <c r="R325" s="13"/>
    </row>
    <row r="326" spans="1:18" ht="15.75" thickBot="1" x14ac:dyDescent="0.3">
      <c r="A326" s="19"/>
      <c r="B326" s="69" t="s">
        <v>83</v>
      </c>
      <c r="C326" s="61"/>
      <c r="D326" s="411" t="str">
        <f>IF('City 25'!$D$2&lt;&gt;0,'City 25'!$D$2," ")</f>
        <v xml:space="preserve"> </v>
      </c>
      <c r="E326" s="412"/>
      <c r="F326" s="412"/>
      <c r="G326" s="412"/>
      <c r="H326" s="413"/>
      <c r="I326" s="18"/>
      <c r="J326" s="33"/>
      <c r="K326" s="62"/>
      <c r="L326" s="62"/>
      <c r="M326" s="77"/>
      <c r="N326" s="77"/>
      <c r="O326" s="77"/>
      <c r="P326" s="77"/>
      <c r="Q326" s="77"/>
      <c r="R326" s="11"/>
    </row>
    <row r="327" spans="1:18" s="1" customFormat="1" ht="3" customHeight="1" thickBot="1" x14ac:dyDescent="0.3">
      <c r="A327" s="33"/>
      <c r="B327" s="61"/>
      <c r="C327" s="61"/>
      <c r="D327" s="45"/>
      <c r="E327" s="11"/>
      <c r="F327" s="61"/>
      <c r="G327" s="61"/>
      <c r="H327" s="11"/>
      <c r="I327" s="22"/>
      <c r="J327" s="33"/>
      <c r="K327" s="62"/>
      <c r="L327" s="62"/>
      <c r="M327" s="45"/>
      <c r="N327" s="45"/>
      <c r="O327" s="62"/>
      <c r="P327" s="62"/>
      <c r="Q327" s="45"/>
      <c r="R327" s="11"/>
    </row>
    <row r="328" spans="1:18" ht="15.75" thickBot="1" x14ac:dyDescent="0.3">
      <c r="A328" s="19"/>
      <c r="B328" s="92" t="s">
        <v>49</v>
      </c>
      <c r="C328" s="62"/>
      <c r="D328" s="46" t="str">
        <f>IF('City 25'!$D$4&lt;&gt;0,'City 25'!$D$4," ")</f>
        <v xml:space="preserve"> </v>
      </c>
      <c r="E328" s="81"/>
      <c r="F328" s="92" t="s">
        <v>43</v>
      </c>
      <c r="G328" s="62"/>
      <c r="H328" s="46" t="str">
        <f>IF('City 25'!$T$6&lt;&gt;0,'City 25'!$T$6," ")</f>
        <v xml:space="preserve"> </v>
      </c>
      <c r="I328" s="18"/>
      <c r="J328" s="33"/>
      <c r="K328" s="62"/>
      <c r="L328" s="62"/>
      <c r="M328" s="21"/>
      <c r="N328" s="21"/>
      <c r="O328" s="62"/>
      <c r="P328" s="62"/>
      <c r="Q328" s="21"/>
      <c r="R328" s="11"/>
    </row>
    <row r="329" spans="1:18" s="1" customFormat="1" ht="3" customHeight="1" thickBot="1" x14ac:dyDescent="0.3">
      <c r="A329" s="33"/>
      <c r="B329" s="61"/>
      <c r="C329" s="61"/>
      <c r="D329" s="21"/>
      <c r="E329" s="21"/>
      <c r="F329" s="11"/>
      <c r="G329" s="11"/>
      <c r="H329" s="11"/>
      <c r="I329" s="22"/>
      <c r="J329" s="33"/>
      <c r="K329" s="62"/>
      <c r="L329" s="62"/>
      <c r="M329" s="21"/>
      <c r="N329" s="21"/>
      <c r="O329" s="45"/>
      <c r="P329" s="45"/>
      <c r="Q329" s="45"/>
      <c r="R329" s="11"/>
    </row>
    <row r="330" spans="1:18" ht="15.75" thickBot="1" x14ac:dyDescent="0.3">
      <c r="A330" s="19"/>
      <c r="B330" s="92" t="s">
        <v>50</v>
      </c>
      <c r="C330" s="62"/>
      <c r="D330" s="46" t="str">
        <f>IF('City 25'!$D$6&lt;&gt;0,'City 25'!$D$6," ")</f>
        <v xml:space="preserve"> </v>
      </c>
      <c r="E330" s="81"/>
      <c r="F330" s="92" t="s">
        <v>95</v>
      </c>
      <c r="G330" s="62"/>
      <c r="H330" s="46">
        <f>IF('City 25'!$AJ$4&lt;&gt;0,'City 25'!$AJ$4,0)</f>
        <v>0</v>
      </c>
      <c r="I330" s="18"/>
      <c r="J330" s="33"/>
      <c r="K330" s="62"/>
      <c r="L330" s="62"/>
      <c r="M330" s="21"/>
      <c r="N330" s="21"/>
      <c r="O330" s="62"/>
      <c r="P330" s="62"/>
      <c r="Q330" s="21"/>
      <c r="R330" s="11"/>
    </row>
    <row r="331" spans="1:18" s="1" customFormat="1" ht="3" customHeight="1" thickBot="1" x14ac:dyDescent="0.3">
      <c r="A331" s="33"/>
      <c r="B331" s="61"/>
      <c r="C331" s="61"/>
      <c r="D331" s="21"/>
      <c r="E331" s="21"/>
      <c r="F331" s="11"/>
      <c r="G331" s="11"/>
      <c r="H331" s="11"/>
      <c r="I331" s="22"/>
      <c r="J331" s="33"/>
      <c r="K331" s="62"/>
      <c r="L331" s="62"/>
      <c r="M331" s="21"/>
      <c r="N331" s="21"/>
      <c r="O331" s="45"/>
      <c r="P331" s="45"/>
      <c r="Q331" s="45"/>
      <c r="R331" s="11"/>
    </row>
    <row r="332" spans="1:18" ht="15.75" thickBot="1" x14ac:dyDescent="0.3">
      <c r="A332" s="19"/>
      <c r="B332" s="92" t="s">
        <v>51</v>
      </c>
      <c r="C332" s="62"/>
      <c r="D332" s="46" t="str">
        <f>IF('City 25'!$T$4&lt;&gt;0,'City 25'!$T$4," ")</f>
        <v xml:space="preserve"> </v>
      </c>
      <c r="E332" s="81"/>
      <c r="F332" s="359" t="s">
        <v>148</v>
      </c>
      <c r="G332" s="417"/>
      <c r="H332" s="417"/>
      <c r="I332" s="18"/>
      <c r="J332" s="33"/>
      <c r="K332" s="62"/>
      <c r="L332" s="62"/>
      <c r="M332" s="21"/>
      <c r="N332" s="21"/>
      <c r="O332" s="31"/>
      <c r="P332" s="21"/>
      <c r="Q332" s="21"/>
      <c r="R332" s="11"/>
    </row>
    <row r="333" spans="1:18" s="1" customFormat="1" ht="3" customHeight="1" thickBot="1" x14ac:dyDescent="0.3">
      <c r="A333" s="33"/>
      <c r="B333" s="62"/>
      <c r="C333" s="62"/>
      <c r="D333" s="21"/>
      <c r="E333" s="21"/>
      <c r="F333" s="5"/>
      <c r="G333" s="11"/>
      <c r="H333" s="5"/>
      <c r="I333" s="22"/>
      <c r="J333" s="33"/>
      <c r="K333" s="62"/>
      <c r="L333" s="62"/>
      <c r="M333" s="21"/>
      <c r="N333" s="21"/>
      <c r="O333" s="45"/>
      <c r="P333" s="45"/>
      <c r="Q333" s="45"/>
      <c r="R333" s="11"/>
    </row>
    <row r="334" spans="1:18" x14ac:dyDescent="0.25">
      <c r="A334" s="19"/>
      <c r="B334" s="359" t="s">
        <v>149</v>
      </c>
      <c r="C334" s="417"/>
      <c r="D334" s="417"/>
      <c r="E334" s="81"/>
      <c r="F334" s="427" t="str">
        <f>IF('City 25'!$D$26&gt;0, 'City 25'!$B$26, (IF('City 25'!$D$36&gt;0, 'City 25'!$B$36, (IF('City 25'!$D$16&gt;0, 'City 25'!$B$36, (IF('City 25'!$AJ$34&gt;0, 'City 25'!$AF$34," ")))))))</f>
        <v xml:space="preserve"> </v>
      </c>
      <c r="G334" s="428"/>
      <c r="H334" s="429"/>
      <c r="I334" s="18"/>
      <c r="J334" s="33"/>
      <c r="K334" s="31"/>
      <c r="L334" s="21"/>
      <c r="M334" s="21"/>
      <c r="N334" s="21"/>
      <c r="O334" s="45"/>
      <c r="P334" s="45"/>
      <c r="Q334" s="45"/>
      <c r="R334" s="11"/>
    </row>
    <row r="335" spans="1:18" s="1" customFormat="1" ht="3" customHeight="1" thickBot="1" x14ac:dyDescent="0.3">
      <c r="A335" s="33"/>
      <c r="B335" s="5"/>
      <c r="C335" s="11"/>
      <c r="D335" s="5"/>
      <c r="E335" s="21"/>
      <c r="F335" s="409"/>
      <c r="G335" s="405"/>
      <c r="H335" s="410"/>
      <c r="I335" s="22"/>
      <c r="J335" s="33"/>
      <c r="K335" s="45"/>
      <c r="L335" s="45"/>
      <c r="M335" s="45"/>
      <c r="N335" s="21"/>
      <c r="O335" s="45"/>
      <c r="P335" s="45"/>
      <c r="Q335" s="45"/>
      <c r="R335" s="11"/>
    </row>
    <row r="336" spans="1:18" ht="15.75" thickBot="1" x14ac:dyDescent="0.3">
      <c r="A336" s="19"/>
      <c r="B336" s="92" t="s">
        <v>96</v>
      </c>
      <c r="C336" s="62"/>
      <c r="D336" s="46" t="str">
        <f>IF('City 25'!$AJ$2&lt;&gt;0,'City 25'!$AJ$2," ")</f>
        <v xml:space="preserve"> </v>
      </c>
      <c r="E336" s="81"/>
      <c r="F336" s="409" t="str">
        <f>(IF('City 25'!$D$28&gt;0, 'City 25'!$B$28, (IF('City 25'!$AJ$24&gt;0, 'City 25'!$AF$24, (IF('City 25'!$AJ$14&gt;0, 'City 25'!$AF$14," "))))))</f>
        <v xml:space="preserve"> </v>
      </c>
      <c r="G336" s="405"/>
      <c r="H336" s="410"/>
      <c r="I336" s="18"/>
      <c r="J336" s="33"/>
      <c r="K336" s="62"/>
      <c r="L336" s="62"/>
      <c r="M336" s="21"/>
      <c r="N336" s="21"/>
      <c r="O336" s="45"/>
      <c r="P336" s="45"/>
      <c r="Q336" s="45"/>
      <c r="R336" s="11"/>
    </row>
    <row r="337" spans="1:18" s="1" customFormat="1" ht="3" customHeight="1" thickBot="1" x14ac:dyDescent="0.3">
      <c r="A337" s="33"/>
      <c r="B337" s="5"/>
      <c r="C337" s="11"/>
      <c r="D337" s="5"/>
      <c r="E337" s="45"/>
      <c r="F337" s="409"/>
      <c r="G337" s="405"/>
      <c r="H337" s="410"/>
      <c r="I337" s="22"/>
      <c r="J337" s="33"/>
      <c r="K337" s="45"/>
      <c r="L337" s="45"/>
      <c r="M337" s="45"/>
      <c r="N337" s="45"/>
      <c r="O337" s="45"/>
      <c r="P337" s="45"/>
      <c r="Q337" s="45"/>
      <c r="R337" s="11"/>
    </row>
    <row r="338" spans="1:18" ht="15.75" thickBot="1" x14ac:dyDescent="0.3">
      <c r="A338" s="19"/>
      <c r="B338" s="92" t="s">
        <v>97</v>
      </c>
      <c r="D338" s="46" t="str">
        <f>IF('City 25'!$D$42&lt;&gt;0,'City 25'!$D$42," ")</f>
        <v xml:space="preserve"> </v>
      </c>
      <c r="F338" s="409" t="str">
        <f>(IF('City 25'!$D$14&gt;0, 'City 25'!$B$14, (IF('City 25'!$AJ$28&gt;0, 'City 25'!$AF$28, (IF('City 25'!$AJ$22&gt;0, 'City 25'!$AF$22, (IF('City 25'!$T$18&gt;0, 'City 25'!$P$18, (IF('City 25'!$D$22&gt;0, 'City 25'!$B$22, (IF('City 25'!$T$38&gt;0, 'City 25'!$P$38," "))))))))))))</f>
        <v xml:space="preserve"> </v>
      </c>
      <c r="G338" s="405"/>
      <c r="H338" s="410"/>
      <c r="I338" s="18"/>
      <c r="J338" s="33"/>
      <c r="K338" s="62"/>
      <c r="L338" s="45"/>
      <c r="M338" s="21"/>
      <c r="N338" s="45"/>
      <c r="O338" s="45"/>
      <c r="P338" s="45"/>
      <c r="Q338" s="45"/>
      <c r="R338" s="11"/>
    </row>
    <row r="339" spans="1:18" ht="3" customHeight="1" thickBot="1" x14ac:dyDescent="0.3">
      <c r="A339" s="19"/>
      <c r="B339" s="5"/>
      <c r="D339" s="5"/>
      <c r="F339" s="409"/>
      <c r="G339" s="405"/>
      <c r="H339" s="410"/>
      <c r="I339" s="18"/>
      <c r="J339" s="33"/>
      <c r="K339" s="45"/>
      <c r="L339" s="45"/>
      <c r="M339" s="45"/>
      <c r="N339" s="45"/>
      <c r="O339" s="45"/>
      <c r="P339" s="45"/>
      <c r="Q339" s="45"/>
      <c r="R339" s="11"/>
    </row>
    <row r="340" spans="1:18" ht="15.75" thickBot="1" x14ac:dyDescent="0.3">
      <c r="A340" s="19"/>
      <c r="B340" s="92" t="s">
        <v>152</v>
      </c>
      <c r="D340" s="46" t="str">
        <f>IF('City 25'!$T$42&lt;&gt;0,'City 25'!$T$42," ")</f>
        <v xml:space="preserve"> </v>
      </c>
      <c r="F340" s="409" t="str">
        <f>(IF('City 25'!$AJ$36&gt;0,'City 25'!$AF$36,(IF('City 25'!$T$26&gt;0,'City 25'!$P$26,(IF('City 25'!$T$30&gt;0,'City 25'!$P$30,(IF('City 25'!$D$18&gt;0,'City 25'!$B$18,(IF('City 25'!$T$24&gt;0,'City 25'!$P$24,(IF('City 25'!$AJ$12&gt;0,'City 25'!$AF$12," "))))))))))))</f>
        <v xml:space="preserve"> </v>
      </c>
      <c r="G340" s="405"/>
      <c r="H340" s="410"/>
      <c r="I340" s="18"/>
      <c r="J340" s="33"/>
      <c r="K340" s="62"/>
      <c r="L340" s="45"/>
      <c r="M340" s="21"/>
      <c r="N340" s="45"/>
      <c r="O340" s="45"/>
      <c r="P340" s="45"/>
      <c r="Q340" s="45"/>
      <c r="R340" s="11"/>
    </row>
    <row r="341" spans="1:18" ht="3" customHeight="1" thickBot="1" x14ac:dyDescent="0.3">
      <c r="A341" s="19"/>
      <c r="B341" s="5"/>
      <c r="D341" s="5"/>
      <c r="F341" s="409"/>
      <c r="G341" s="405"/>
      <c r="H341" s="410"/>
      <c r="I341" s="18"/>
      <c r="J341" s="33"/>
      <c r="K341" s="45"/>
      <c r="L341" s="45"/>
      <c r="M341" s="45"/>
      <c r="N341" s="45"/>
      <c r="O341" s="45"/>
      <c r="P341" s="45"/>
      <c r="Q341" s="45"/>
      <c r="R341" s="11"/>
    </row>
    <row r="342" spans="1:18" ht="15.75" thickBot="1" x14ac:dyDescent="0.3">
      <c r="A342" s="19"/>
      <c r="B342" s="92" t="s">
        <v>98</v>
      </c>
      <c r="D342" s="46" t="str">
        <f>IF('City 25'!$AJ$42&lt;&gt;0,'City 25'!$AJ$42," ")</f>
        <v xml:space="preserve"> </v>
      </c>
      <c r="F342" s="414" t="str">
        <f>(IF('City 25'!$T$12&gt;0,'City 25'!$P$12,(IF('City 25'!$D$20&gt;0,'City 25'!$B$34,(IF('City 25'!$AJ$32&gt;0,'City 25'!$AF$32,(IF('City 25'!$AJ$18&gt;0,'City 25'!$AF$18,(IF('City 25'!$T$14&gt;0,'City 25'!$P$14,(IF('City 25'!$T$32&gt;0,'City 25'!$P$32,(IF('City 25'!$AJ$16&gt;0,'City 25'!$AF$16,(IF('City 25'!$D$20&gt;0,'City 25'!$B$20," "))))))))))))))))</f>
        <v xml:space="preserve"> </v>
      </c>
      <c r="G342" s="415"/>
      <c r="H342" s="416"/>
      <c r="I342" s="18"/>
      <c r="J342" s="33"/>
      <c r="K342" s="62"/>
      <c r="L342" s="45"/>
      <c r="M342" s="21"/>
      <c r="N342" s="45"/>
      <c r="O342" s="45"/>
      <c r="P342" s="45"/>
      <c r="Q342" s="45"/>
      <c r="R342" s="11"/>
    </row>
    <row r="343" spans="1:18" ht="3" customHeight="1" x14ac:dyDescent="0.25">
      <c r="A343" s="19"/>
      <c r="B343" s="5"/>
      <c r="D343" s="5"/>
      <c r="F343" s="5"/>
      <c r="H343" s="5"/>
      <c r="I343" s="18"/>
      <c r="J343" s="33"/>
      <c r="K343" s="45"/>
      <c r="L343" s="45"/>
      <c r="M343" s="45"/>
      <c r="N343" s="45"/>
      <c r="O343" s="45"/>
      <c r="P343" s="45"/>
      <c r="Q343" s="45"/>
      <c r="R343" s="11"/>
    </row>
    <row r="344" spans="1:18" x14ac:dyDescent="0.25">
      <c r="A344" s="19"/>
      <c r="B344" s="359" t="s">
        <v>104</v>
      </c>
      <c r="C344" s="417"/>
      <c r="D344" s="417"/>
      <c r="E344" s="405"/>
      <c r="F344" s="405"/>
      <c r="G344" s="405"/>
      <c r="H344" s="405"/>
      <c r="I344" s="18"/>
      <c r="J344" s="33"/>
      <c r="K344" s="31"/>
      <c r="L344" s="21"/>
      <c r="M344" s="21"/>
      <c r="N344" s="45"/>
      <c r="O344" s="45"/>
      <c r="P344" s="45"/>
      <c r="Q344" s="45"/>
      <c r="R344" s="11"/>
    </row>
    <row r="345" spans="1:18" ht="3" customHeight="1" thickBot="1" x14ac:dyDescent="0.3">
      <c r="A345" s="19"/>
      <c r="B345" s="5"/>
      <c r="D345" s="5"/>
      <c r="F345" s="5"/>
      <c r="H345" s="5"/>
      <c r="I345" s="18"/>
      <c r="J345" s="33"/>
      <c r="K345" s="45"/>
      <c r="L345" s="45"/>
      <c r="M345" s="45"/>
      <c r="N345" s="45"/>
      <c r="O345" s="45"/>
      <c r="P345" s="45"/>
      <c r="Q345" s="45"/>
      <c r="R345" s="11"/>
    </row>
    <row r="346" spans="1:18" x14ac:dyDescent="0.25">
      <c r="A346" s="19"/>
      <c r="B346" s="418" t="str">
        <f>IF('City 25'!$B$58&lt;&gt;0,'City 25'!$B$58," ")</f>
        <v xml:space="preserve"> </v>
      </c>
      <c r="C346" s="419"/>
      <c r="D346" s="419"/>
      <c r="E346" s="419"/>
      <c r="F346" s="419"/>
      <c r="G346" s="419"/>
      <c r="H346" s="420"/>
      <c r="I346" s="18"/>
      <c r="J346" s="33"/>
      <c r="K346" s="78"/>
      <c r="L346" s="78"/>
      <c r="M346" s="78"/>
      <c r="N346" s="78"/>
      <c r="O346" s="78"/>
      <c r="P346" s="78"/>
      <c r="Q346" s="78"/>
      <c r="R346" s="11"/>
    </row>
    <row r="347" spans="1:18" ht="3" customHeight="1" x14ac:dyDescent="0.25">
      <c r="A347" s="19"/>
      <c r="B347" s="421"/>
      <c r="C347" s="422"/>
      <c r="D347" s="422"/>
      <c r="E347" s="422"/>
      <c r="F347" s="422"/>
      <c r="G347" s="422"/>
      <c r="H347" s="423"/>
      <c r="I347" s="18"/>
      <c r="J347" s="33"/>
      <c r="K347" s="78"/>
      <c r="L347" s="78"/>
      <c r="M347" s="78"/>
      <c r="N347" s="78"/>
      <c r="O347" s="78"/>
      <c r="P347" s="78"/>
      <c r="Q347" s="78"/>
      <c r="R347" s="11"/>
    </row>
    <row r="348" spans="1:18" x14ac:dyDescent="0.25">
      <c r="A348" s="19"/>
      <c r="B348" s="421"/>
      <c r="C348" s="422"/>
      <c r="D348" s="422"/>
      <c r="E348" s="422"/>
      <c r="F348" s="422"/>
      <c r="G348" s="422"/>
      <c r="H348" s="423"/>
      <c r="I348" s="18"/>
      <c r="J348" s="33"/>
      <c r="K348" s="78"/>
      <c r="L348" s="78"/>
      <c r="M348" s="78"/>
      <c r="N348" s="78"/>
      <c r="O348" s="78"/>
      <c r="P348" s="78"/>
      <c r="Q348" s="78"/>
      <c r="R348" s="11"/>
    </row>
    <row r="349" spans="1:18" x14ac:dyDescent="0.25">
      <c r="A349" s="19"/>
      <c r="B349" s="421"/>
      <c r="C349" s="422"/>
      <c r="D349" s="422"/>
      <c r="E349" s="422"/>
      <c r="F349" s="422"/>
      <c r="G349" s="422"/>
      <c r="H349" s="423"/>
      <c r="I349" s="18"/>
      <c r="J349" s="33"/>
      <c r="K349" s="78"/>
      <c r="L349" s="78"/>
      <c r="M349" s="78"/>
      <c r="N349" s="78"/>
      <c r="O349" s="78"/>
      <c r="P349" s="78"/>
      <c r="Q349" s="78"/>
      <c r="R349" s="11"/>
    </row>
    <row r="350" spans="1:18" ht="15.75" thickBot="1" x14ac:dyDescent="0.3">
      <c r="A350" s="19"/>
      <c r="B350" s="424"/>
      <c r="C350" s="425"/>
      <c r="D350" s="425"/>
      <c r="E350" s="425"/>
      <c r="F350" s="425"/>
      <c r="G350" s="425"/>
      <c r="H350" s="426"/>
      <c r="I350" s="18"/>
      <c r="J350" s="33"/>
      <c r="K350" s="78"/>
      <c r="L350" s="78"/>
      <c r="M350" s="78"/>
      <c r="N350" s="78"/>
      <c r="O350" s="78"/>
      <c r="P350" s="78"/>
      <c r="Q350" s="78"/>
      <c r="R350" s="11"/>
    </row>
    <row r="351" spans="1:18" ht="5.0999999999999996" customHeight="1" thickBot="1" x14ac:dyDescent="0.3">
      <c r="A351" s="34"/>
      <c r="B351" s="4"/>
      <c r="C351" s="28"/>
      <c r="D351" s="4"/>
      <c r="E351" s="4"/>
      <c r="F351" s="4"/>
      <c r="G351" s="28"/>
      <c r="H351" s="4"/>
      <c r="I351" s="29"/>
      <c r="J351" s="33"/>
      <c r="K351" s="11"/>
      <c r="M351" s="11"/>
      <c r="N351" s="11"/>
      <c r="O351" s="11"/>
      <c r="Q351" s="11"/>
      <c r="R351" s="11"/>
    </row>
  </sheetData>
  <sheetProtection sheet="1" objects="1" scenarios="1" selectLockedCells="1"/>
  <mergeCells count="350">
    <mergeCell ref="B346:H350"/>
    <mergeCell ref="F341:H341"/>
    <mergeCell ref="F342:H342"/>
    <mergeCell ref="B344:H344"/>
    <mergeCell ref="F338:H338"/>
    <mergeCell ref="F339:H339"/>
    <mergeCell ref="F340:H340"/>
    <mergeCell ref="F335:H335"/>
    <mergeCell ref="F336:H336"/>
    <mergeCell ref="F337:H337"/>
    <mergeCell ref="D326:H326"/>
    <mergeCell ref="F332:H332"/>
    <mergeCell ref="B334:D334"/>
    <mergeCell ref="F334:H334"/>
    <mergeCell ref="F315:H315"/>
    <mergeCell ref="O315:Q315"/>
    <mergeCell ref="B317:H317"/>
    <mergeCell ref="K317:Q317"/>
    <mergeCell ref="B319:H323"/>
    <mergeCell ref="K319:Q323"/>
    <mergeCell ref="F312:H312"/>
    <mergeCell ref="O312:Q312"/>
    <mergeCell ref="F313:H313"/>
    <mergeCell ref="O313:Q313"/>
    <mergeCell ref="F314:H314"/>
    <mergeCell ref="O314:Q314"/>
    <mergeCell ref="F309:H309"/>
    <mergeCell ref="O309:Q309"/>
    <mergeCell ref="F310:H310"/>
    <mergeCell ref="O310:Q310"/>
    <mergeCell ref="F311:H311"/>
    <mergeCell ref="O311:Q311"/>
    <mergeCell ref="B307:D307"/>
    <mergeCell ref="F307:H307"/>
    <mergeCell ref="K307:M307"/>
    <mergeCell ref="O307:Q307"/>
    <mergeCell ref="F308:H308"/>
    <mergeCell ref="O308:Q308"/>
    <mergeCell ref="B292:H296"/>
    <mergeCell ref="K292:Q296"/>
    <mergeCell ref="D299:H299"/>
    <mergeCell ref="M299:Q299"/>
    <mergeCell ref="F305:H305"/>
    <mergeCell ref="O305:Q305"/>
    <mergeCell ref="F287:H287"/>
    <mergeCell ref="O287:Q287"/>
    <mergeCell ref="F288:H288"/>
    <mergeCell ref="O288:Q288"/>
    <mergeCell ref="B290:H290"/>
    <mergeCell ref="K290:Q290"/>
    <mergeCell ref="F284:H284"/>
    <mergeCell ref="O284:Q284"/>
    <mergeCell ref="F285:H285"/>
    <mergeCell ref="O285:Q285"/>
    <mergeCell ref="F286:H286"/>
    <mergeCell ref="O286:Q286"/>
    <mergeCell ref="F281:H281"/>
    <mergeCell ref="O281:Q281"/>
    <mergeCell ref="F282:H282"/>
    <mergeCell ref="O282:Q282"/>
    <mergeCell ref="F283:H283"/>
    <mergeCell ref="O283:Q283"/>
    <mergeCell ref="D272:H272"/>
    <mergeCell ref="M272:Q272"/>
    <mergeCell ref="F278:H278"/>
    <mergeCell ref="O278:Q278"/>
    <mergeCell ref="B280:D280"/>
    <mergeCell ref="F280:H280"/>
    <mergeCell ref="K280:M280"/>
    <mergeCell ref="O280:Q280"/>
    <mergeCell ref="F261:H261"/>
    <mergeCell ref="O261:Q261"/>
    <mergeCell ref="B263:H263"/>
    <mergeCell ref="K263:Q263"/>
    <mergeCell ref="B265:H269"/>
    <mergeCell ref="K265:Q269"/>
    <mergeCell ref="F258:H258"/>
    <mergeCell ref="O258:Q258"/>
    <mergeCell ref="F259:H259"/>
    <mergeCell ref="O259:Q259"/>
    <mergeCell ref="F260:H260"/>
    <mergeCell ref="O260:Q260"/>
    <mergeCell ref="F255:H255"/>
    <mergeCell ref="O255:Q255"/>
    <mergeCell ref="F256:H256"/>
    <mergeCell ref="O256:Q256"/>
    <mergeCell ref="F257:H257"/>
    <mergeCell ref="O257:Q257"/>
    <mergeCell ref="B253:D253"/>
    <mergeCell ref="F253:H253"/>
    <mergeCell ref="K253:M253"/>
    <mergeCell ref="O253:Q253"/>
    <mergeCell ref="F254:H254"/>
    <mergeCell ref="O254:Q254"/>
    <mergeCell ref="B238:H242"/>
    <mergeCell ref="K238:Q242"/>
    <mergeCell ref="D245:H245"/>
    <mergeCell ref="M245:Q245"/>
    <mergeCell ref="F251:H251"/>
    <mergeCell ref="O251:Q251"/>
    <mergeCell ref="F233:H233"/>
    <mergeCell ref="O233:Q233"/>
    <mergeCell ref="F234:H234"/>
    <mergeCell ref="O234:Q234"/>
    <mergeCell ref="B236:H236"/>
    <mergeCell ref="K236:Q236"/>
    <mergeCell ref="F230:H230"/>
    <mergeCell ref="O230:Q230"/>
    <mergeCell ref="F231:H231"/>
    <mergeCell ref="O231:Q231"/>
    <mergeCell ref="F232:H232"/>
    <mergeCell ref="O232:Q232"/>
    <mergeCell ref="F227:H227"/>
    <mergeCell ref="O227:Q227"/>
    <mergeCell ref="F228:H228"/>
    <mergeCell ref="O228:Q228"/>
    <mergeCell ref="F229:H229"/>
    <mergeCell ref="O229:Q229"/>
    <mergeCell ref="D218:H218"/>
    <mergeCell ref="M218:Q218"/>
    <mergeCell ref="F224:H224"/>
    <mergeCell ref="O224:Q224"/>
    <mergeCell ref="B226:D226"/>
    <mergeCell ref="F226:H226"/>
    <mergeCell ref="K226:M226"/>
    <mergeCell ref="O226:Q226"/>
    <mergeCell ref="F207:H207"/>
    <mergeCell ref="O207:Q207"/>
    <mergeCell ref="B209:H209"/>
    <mergeCell ref="K209:Q209"/>
    <mergeCell ref="B211:H215"/>
    <mergeCell ref="K211:Q215"/>
    <mergeCell ref="F204:H204"/>
    <mergeCell ref="O204:Q204"/>
    <mergeCell ref="F205:H205"/>
    <mergeCell ref="O205:Q205"/>
    <mergeCell ref="F206:H206"/>
    <mergeCell ref="O206:Q206"/>
    <mergeCell ref="F201:H201"/>
    <mergeCell ref="O201:Q201"/>
    <mergeCell ref="F202:H202"/>
    <mergeCell ref="O202:Q202"/>
    <mergeCell ref="F203:H203"/>
    <mergeCell ref="O203:Q203"/>
    <mergeCell ref="B199:D199"/>
    <mergeCell ref="F199:H199"/>
    <mergeCell ref="K199:M199"/>
    <mergeCell ref="O199:Q199"/>
    <mergeCell ref="F200:H200"/>
    <mergeCell ref="O200:Q200"/>
    <mergeCell ref="B184:H188"/>
    <mergeCell ref="K184:Q188"/>
    <mergeCell ref="D191:H191"/>
    <mergeCell ref="M191:Q191"/>
    <mergeCell ref="F197:H197"/>
    <mergeCell ref="O197:Q197"/>
    <mergeCell ref="F179:H179"/>
    <mergeCell ref="O179:Q179"/>
    <mergeCell ref="F180:H180"/>
    <mergeCell ref="O180:Q180"/>
    <mergeCell ref="B182:H182"/>
    <mergeCell ref="K182:Q182"/>
    <mergeCell ref="F176:H176"/>
    <mergeCell ref="O176:Q176"/>
    <mergeCell ref="F177:H177"/>
    <mergeCell ref="O177:Q177"/>
    <mergeCell ref="F178:H178"/>
    <mergeCell ref="O178:Q178"/>
    <mergeCell ref="F173:H173"/>
    <mergeCell ref="O173:Q173"/>
    <mergeCell ref="F174:H174"/>
    <mergeCell ref="O174:Q174"/>
    <mergeCell ref="F175:H175"/>
    <mergeCell ref="O175:Q175"/>
    <mergeCell ref="D164:H164"/>
    <mergeCell ref="M164:Q164"/>
    <mergeCell ref="F170:H170"/>
    <mergeCell ref="O170:Q170"/>
    <mergeCell ref="B172:D172"/>
    <mergeCell ref="F172:H172"/>
    <mergeCell ref="K172:M172"/>
    <mergeCell ref="O172:Q172"/>
    <mergeCell ref="F153:H153"/>
    <mergeCell ref="O153:Q153"/>
    <mergeCell ref="B155:H155"/>
    <mergeCell ref="K155:Q155"/>
    <mergeCell ref="B157:H161"/>
    <mergeCell ref="K157:Q161"/>
    <mergeCell ref="F150:H150"/>
    <mergeCell ref="O150:Q150"/>
    <mergeCell ref="F151:H151"/>
    <mergeCell ref="O151:Q151"/>
    <mergeCell ref="F152:H152"/>
    <mergeCell ref="O152:Q152"/>
    <mergeCell ref="F147:H147"/>
    <mergeCell ref="O147:Q147"/>
    <mergeCell ref="F148:H148"/>
    <mergeCell ref="O148:Q148"/>
    <mergeCell ref="F149:H149"/>
    <mergeCell ref="O149:Q149"/>
    <mergeCell ref="B145:D145"/>
    <mergeCell ref="F145:H145"/>
    <mergeCell ref="K145:M145"/>
    <mergeCell ref="O145:Q145"/>
    <mergeCell ref="F146:H146"/>
    <mergeCell ref="O146:Q146"/>
    <mergeCell ref="B130:H134"/>
    <mergeCell ref="K130:Q134"/>
    <mergeCell ref="D137:H137"/>
    <mergeCell ref="M137:Q137"/>
    <mergeCell ref="F143:H143"/>
    <mergeCell ref="O143:Q143"/>
    <mergeCell ref="F125:H125"/>
    <mergeCell ref="O125:Q125"/>
    <mergeCell ref="F126:H126"/>
    <mergeCell ref="O126:Q126"/>
    <mergeCell ref="B128:H128"/>
    <mergeCell ref="K128:Q128"/>
    <mergeCell ref="F122:H122"/>
    <mergeCell ref="O122:Q122"/>
    <mergeCell ref="F123:H123"/>
    <mergeCell ref="O123:Q123"/>
    <mergeCell ref="F124:H124"/>
    <mergeCell ref="O124:Q124"/>
    <mergeCell ref="F119:H119"/>
    <mergeCell ref="O119:Q119"/>
    <mergeCell ref="F120:H120"/>
    <mergeCell ref="O120:Q120"/>
    <mergeCell ref="F121:H121"/>
    <mergeCell ref="O121:Q121"/>
    <mergeCell ref="D110:H110"/>
    <mergeCell ref="M110:Q110"/>
    <mergeCell ref="F116:H116"/>
    <mergeCell ref="O116:Q116"/>
    <mergeCell ref="B118:D118"/>
    <mergeCell ref="F118:H118"/>
    <mergeCell ref="K118:M118"/>
    <mergeCell ref="O118:Q118"/>
    <mergeCell ref="F99:H99"/>
    <mergeCell ref="O99:Q99"/>
    <mergeCell ref="B101:H101"/>
    <mergeCell ref="K101:Q101"/>
    <mergeCell ref="B103:H107"/>
    <mergeCell ref="K103:Q107"/>
    <mergeCell ref="F96:H96"/>
    <mergeCell ref="O96:Q96"/>
    <mergeCell ref="F97:H97"/>
    <mergeCell ref="O97:Q97"/>
    <mergeCell ref="F98:H98"/>
    <mergeCell ref="O98:Q98"/>
    <mergeCell ref="F93:H93"/>
    <mergeCell ref="O93:Q93"/>
    <mergeCell ref="F94:H94"/>
    <mergeCell ref="O94:Q94"/>
    <mergeCell ref="F95:H95"/>
    <mergeCell ref="O95:Q95"/>
    <mergeCell ref="B91:D91"/>
    <mergeCell ref="F91:H91"/>
    <mergeCell ref="K91:M91"/>
    <mergeCell ref="O91:Q91"/>
    <mergeCell ref="F92:H92"/>
    <mergeCell ref="O92:Q92"/>
    <mergeCell ref="B76:H80"/>
    <mergeCell ref="K76:Q80"/>
    <mergeCell ref="D83:H83"/>
    <mergeCell ref="M83:Q83"/>
    <mergeCell ref="F89:H89"/>
    <mergeCell ref="O89:Q89"/>
    <mergeCell ref="F71:H71"/>
    <mergeCell ref="O71:Q71"/>
    <mergeCell ref="F72:H72"/>
    <mergeCell ref="O72:Q72"/>
    <mergeCell ref="B74:H74"/>
    <mergeCell ref="K74:Q74"/>
    <mergeCell ref="F68:H68"/>
    <mergeCell ref="O68:Q68"/>
    <mergeCell ref="F69:H69"/>
    <mergeCell ref="O69:Q69"/>
    <mergeCell ref="F70:H70"/>
    <mergeCell ref="O70:Q70"/>
    <mergeCell ref="F65:H65"/>
    <mergeCell ref="O65:Q65"/>
    <mergeCell ref="F66:H66"/>
    <mergeCell ref="O66:Q66"/>
    <mergeCell ref="F67:H67"/>
    <mergeCell ref="O67:Q67"/>
    <mergeCell ref="D56:H56"/>
    <mergeCell ref="M56:Q56"/>
    <mergeCell ref="F62:H62"/>
    <mergeCell ref="O62:Q62"/>
    <mergeCell ref="B64:D64"/>
    <mergeCell ref="F64:H64"/>
    <mergeCell ref="K64:M64"/>
    <mergeCell ref="O64:Q64"/>
    <mergeCell ref="B47:H47"/>
    <mergeCell ref="K47:Q47"/>
    <mergeCell ref="B49:H53"/>
    <mergeCell ref="K49:Q53"/>
    <mergeCell ref="F43:H43"/>
    <mergeCell ref="O43:Q43"/>
    <mergeCell ref="F44:H44"/>
    <mergeCell ref="O44:Q44"/>
    <mergeCell ref="F45:H45"/>
    <mergeCell ref="O45:Q45"/>
    <mergeCell ref="O14:Q14"/>
    <mergeCell ref="K20:Q20"/>
    <mergeCell ref="O15:Q15"/>
    <mergeCell ref="O16:Q16"/>
    <mergeCell ref="O17:Q17"/>
    <mergeCell ref="O18:Q18"/>
    <mergeCell ref="K10:M10"/>
    <mergeCell ref="O10:Q10"/>
    <mergeCell ref="O11:Q11"/>
    <mergeCell ref="O12:Q12"/>
    <mergeCell ref="F42:H42"/>
    <mergeCell ref="O42:Q42"/>
    <mergeCell ref="F40:H40"/>
    <mergeCell ref="O40:Q40"/>
    <mergeCell ref="D29:H29"/>
    <mergeCell ref="M29:Q29"/>
    <mergeCell ref="F35:H35"/>
    <mergeCell ref="O35:Q35"/>
    <mergeCell ref="B37:D37"/>
    <mergeCell ref="F37:H37"/>
    <mergeCell ref="K37:M37"/>
    <mergeCell ref="O37:Q37"/>
    <mergeCell ref="F11:H11"/>
    <mergeCell ref="D2:H2"/>
    <mergeCell ref="F18:H18"/>
    <mergeCell ref="F17:H17"/>
    <mergeCell ref="B20:H20"/>
    <mergeCell ref="B22:H26"/>
    <mergeCell ref="F41:H41"/>
    <mergeCell ref="O41:Q41"/>
    <mergeCell ref="B10:D10"/>
    <mergeCell ref="F8:H8"/>
    <mergeCell ref="F10:H10"/>
    <mergeCell ref="F12:H12"/>
    <mergeCell ref="F14:H14"/>
    <mergeCell ref="F16:H16"/>
    <mergeCell ref="F15:H15"/>
    <mergeCell ref="F13:H13"/>
    <mergeCell ref="F38:H38"/>
    <mergeCell ref="O38:Q38"/>
    <mergeCell ref="F39:H39"/>
    <mergeCell ref="O39:Q39"/>
    <mergeCell ref="K22:Q26"/>
    <mergeCell ref="M2:Q2"/>
    <mergeCell ref="O8:Q8"/>
    <mergeCell ref="O13:Q13"/>
  </mergeCells>
  <printOptions horizontalCentered="1" verticalCentered="1"/>
  <pageMargins left="0.70866141732283472" right="0.70866141732283472" top="0.74803149606299213" bottom="0.74803149606299213" header="0.31496062992125984" footer="0.31496062992125984"/>
  <pageSetup paperSize="9" scale="97" orientation="landscape" r:id="rId1"/>
  <headerFooter>
    <oddHeader>&amp;CKingdom City Breakdown</oddHeader>
    <oddFooter>&amp;CPage &amp;P&amp;R&amp;D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BQ71"/>
  <sheetViews>
    <sheetView topLeftCell="AF34" zoomScaleNormal="100" zoomScalePageLayoutView="70" workbookViewId="0">
      <selection activeCell="D2" sqref="D2:T2"/>
    </sheetView>
  </sheetViews>
  <sheetFormatPr defaultColWidth="9.140625" defaultRowHeight="15" x14ac:dyDescent="0.25"/>
  <cols>
    <col min="1" max="1" width="21.85546875" hidden="1" customWidth="1"/>
    <col min="2" max="5" width="9.140625" hidden="1" customWidth="1"/>
    <col min="6" max="7" width="2.7109375" hidden="1" customWidth="1"/>
    <col min="8" max="9" width="10" hidden="1" customWidth="1"/>
    <col min="10" max="10" width="2.7109375" hidden="1" customWidth="1"/>
    <col min="11" max="12" width="10" hidden="1" customWidth="1"/>
    <col min="13" max="13" width="2.7109375" hidden="1" customWidth="1"/>
    <col min="14" max="15" width="10" hidden="1" customWidth="1"/>
    <col min="16" max="17" width="2.7109375" hidden="1" customWidth="1"/>
    <col min="18" max="18" width="2.85546875" hidden="1" customWidth="1"/>
    <col min="19" max="20" width="2.7109375" hidden="1" customWidth="1"/>
    <col min="21" max="22" width="10" hidden="1" customWidth="1"/>
    <col min="23" max="23" width="2.7109375" hidden="1" customWidth="1"/>
    <col min="24" max="25" width="10" hidden="1" customWidth="1"/>
    <col min="26" max="26" width="2.7109375" hidden="1" customWidth="1"/>
    <col min="27" max="28" width="10" hidden="1" customWidth="1"/>
    <col min="29" max="30" width="2.7109375" hidden="1" customWidth="1"/>
    <col min="31" max="31" width="2.85546875" hidden="1" customWidth="1"/>
    <col min="32" max="33" width="2.7109375" customWidth="1"/>
    <col min="34" max="35" width="10" customWidth="1"/>
    <col min="36" max="36" width="2.7109375" customWidth="1"/>
    <col min="37" max="38" width="10" customWidth="1"/>
    <col min="39" max="39" width="2.7109375" customWidth="1"/>
    <col min="40" max="41" width="10" customWidth="1"/>
    <col min="42" max="43" width="2.7109375" customWidth="1"/>
    <col min="44" max="44" width="2.85546875" hidden="1" customWidth="1"/>
    <col min="45" max="46" width="2.7109375" hidden="1" customWidth="1"/>
    <col min="47" max="48" width="10" hidden="1" customWidth="1"/>
    <col min="49" max="49" width="2.7109375" hidden="1" customWidth="1"/>
    <col min="50" max="51" width="10" hidden="1" customWidth="1"/>
    <col min="52" max="52" width="2.7109375" hidden="1" customWidth="1"/>
    <col min="53" max="54" width="10" hidden="1" customWidth="1"/>
    <col min="55" max="56" width="2.7109375" hidden="1" customWidth="1"/>
    <col min="57" max="57" width="2.85546875" hidden="1" customWidth="1"/>
    <col min="58" max="59" width="2.7109375" hidden="1" customWidth="1"/>
    <col min="60" max="61" width="10" hidden="1" customWidth="1"/>
    <col min="62" max="62" width="2.7109375" hidden="1" customWidth="1"/>
    <col min="63" max="64" width="10" hidden="1" customWidth="1"/>
    <col min="65" max="65" width="2.7109375" hidden="1" customWidth="1"/>
    <col min="66" max="67" width="10" hidden="1" customWidth="1"/>
    <col min="68" max="69" width="2.7109375" hidden="1" customWidth="1"/>
  </cols>
  <sheetData>
    <row r="1" spans="1:69" hidden="1" x14ac:dyDescent="0.25"/>
    <row r="2" spans="1:69" hidden="1" x14ac:dyDescent="0.25"/>
    <row r="3" spans="1:69" hidden="1" x14ac:dyDescent="0.25"/>
    <row r="4" spans="1:69" hidden="1" x14ac:dyDescent="0.25"/>
    <row r="5" spans="1:69" hidden="1" x14ac:dyDescent="0.25"/>
    <row r="6" spans="1:69" hidden="1" x14ac:dyDescent="0.25"/>
    <row r="7" spans="1:69" hidden="1" x14ac:dyDescent="0.25"/>
    <row r="8" spans="1:69" ht="15.75" hidden="1" thickBot="1" x14ac:dyDescent="0.3">
      <c r="A8" s="9" t="s">
        <v>1249</v>
      </c>
      <c r="B8" s="51" t="s">
        <v>10</v>
      </c>
      <c r="C8" s="51" t="s">
        <v>1252</v>
      </c>
      <c r="G8" s="448" t="s">
        <v>1251</v>
      </c>
      <c r="H8" s="448"/>
      <c r="I8" s="448"/>
      <c r="J8" s="448"/>
      <c r="K8" s="448"/>
      <c r="L8" s="448"/>
      <c r="M8" s="448"/>
      <c r="N8" s="448"/>
      <c r="O8" s="448"/>
      <c r="P8" s="448"/>
      <c r="T8" s="448" t="s">
        <v>1251</v>
      </c>
      <c r="U8" s="448"/>
      <c r="V8" s="448"/>
      <c r="W8" s="448"/>
      <c r="X8" s="448"/>
      <c r="Y8" s="448"/>
      <c r="Z8" s="448"/>
      <c r="AA8" s="448"/>
      <c r="AB8" s="448"/>
      <c r="AC8" s="448"/>
      <c r="AG8" s="448" t="s">
        <v>1251</v>
      </c>
      <c r="AH8" s="448"/>
      <c r="AI8" s="448"/>
      <c r="AJ8" s="448"/>
      <c r="AK8" s="448"/>
      <c r="AL8" s="448"/>
      <c r="AM8" s="448"/>
      <c r="AN8" s="448"/>
      <c r="AO8" s="448"/>
      <c r="AP8" s="448"/>
      <c r="AT8" s="448" t="s">
        <v>1251</v>
      </c>
      <c r="AU8" s="448"/>
      <c r="AV8" s="448"/>
      <c r="AW8" s="448"/>
      <c r="AX8" s="448"/>
      <c r="AY8" s="448"/>
      <c r="AZ8" s="448"/>
      <c r="BA8" s="448"/>
      <c r="BB8" s="448"/>
      <c r="BC8" s="448"/>
      <c r="BG8" s="448" t="s">
        <v>1251</v>
      </c>
      <c r="BH8" s="448"/>
      <c r="BI8" s="448"/>
      <c r="BJ8" s="448"/>
      <c r="BK8" s="448"/>
      <c r="BL8" s="448"/>
      <c r="BM8" s="448"/>
      <c r="BN8" s="448"/>
      <c r="BO8" s="448"/>
      <c r="BP8" s="448"/>
    </row>
    <row r="9" spans="1:69" ht="15" hidden="1" customHeight="1" x14ac:dyDescent="0.25">
      <c r="A9" t="s">
        <v>0</v>
      </c>
      <c r="B9" t="s">
        <v>10</v>
      </c>
      <c r="C9" t="s">
        <v>1251</v>
      </c>
      <c r="F9" s="449" t="s">
        <v>1251</v>
      </c>
      <c r="G9" s="263"/>
      <c r="H9" s="451"/>
      <c r="I9" s="451"/>
      <c r="J9" s="451"/>
      <c r="K9" s="451"/>
      <c r="L9" s="451"/>
      <c r="M9" s="451"/>
      <c r="N9" s="451"/>
      <c r="O9" s="451"/>
      <c r="P9" s="263"/>
      <c r="Q9" s="450" t="s">
        <v>1251</v>
      </c>
      <c r="S9" s="449" t="s">
        <v>1251</v>
      </c>
      <c r="T9" s="263"/>
      <c r="U9" s="451"/>
      <c r="V9" s="451"/>
      <c r="W9" s="451"/>
      <c r="X9" s="451"/>
      <c r="Y9" s="451"/>
      <c r="Z9" s="451"/>
      <c r="AA9" s="451"/>
      <c r="AB9" s="451"/>
      <c r="AC9" s="263"/>
      <c r="AD9" s="450" t="s">
        <v>1251</v>
      </c>
      <c r="AF9" s="449" t="s">
        <v>1251</v>
      </c>
      <c r="AG9" s="263"/>
      <c r="AH9" s="451"/>
      <c r="AI9" s="451"/>
      <c r="AJ9" s="451"/>
      <c r="AK9" s="451"/>
      <c r="AL9" s="451"/>
      <c r="AM9" s="451"/>
      <c r="AN9" s="451"/>
      <c r="AO9" s="451"/>
      <c r="AP9" s="263"/>
      <c r="AQ9" s="450" t="s">
        <v>1251</v>
      </c>
      <c r="AS9" s="449" t="s">
        <v>1251</v>
      </c>
      <c r="AT9" s="263"/>
      <c r="AU9" s="451"/>
      <c r="AV9" s="451"/>
      <c r="AW9" s="451"/>
      <c r="AX9" s="451"/>
      <c r="AY9" s="451"/>
      <c r="AZ9" s="451"/>
      <c r="BA9" s="451"/>
      <c r="BB9" s="451"/>
      <c r="BC9" s="263"/>
      <c r="BD9" s="450" t="s">
        <v>1251</v>
      </c>
      <c r="BF9" s="449" t="s">
        <v>1251</v>
      </c>
      <c r="BG9" s="263"/>
      <c r="BH9" s="451"/>
      <c r="BI9" s="451"/>
      <c r="BJ9" s="451"/>
      <c r="BK9" s="451"/>
      <c r="BL9" s="451"/>
      <c r="BM9" s="451"/>
      <c r="BN9" s="451"/>
      <c r="BO9" s="451"/>
      <c r="BP9" s="263"/>
      <c r="BQ9" s="450" t="s">
        <v>1251</v>
      </c>
    </row>
    <row r="10" spans="1:69" ht="56.85" hidden="1" customHeight="1" x14ac:dyDescent="0.25">
      <c r="A10" t="s">
        <v>1</v>
      </c>
      <c r="C10" t="s">
        <v>1250</v>
      </c>
      <c r="D10" s="264"/>
      <c r="F10" s="449"/>
      <c r="G10" s="452"/>
      <c r="H10" s="265"/>
      <c r="I10" s="266"/>
      <c r="J10" s="263"/>
      <c r="K10" s="265"/>
      <c r="L10" s="266"/>
      <c r="M10" s="263"/>
      <c r="N10" s="265"/>
      <c r="O10" s="266"/>
      <c r="P10" s="453"/>
      <c r="Q10" s="450"/>
      <c r="S10" s="449"/>
      <c r="T10" s="452"/>
      <c r="U10" s="265"/>
      <c r="V10" s="266"/>
      <c r="W10" s="269"/>
      <c r="X10" s="265"/>
      <c r="Y10" s="266"/>
      <c r="Z10" s="269"/>
      <c r="AA10" s="265"/>
      <c r="AB10" s="266"/>
      <c r="AC10" s="453"/>
      <c r="AD10" s="450"/>
      <c r="AF10" s="449"/>
      <c r="AG10" s="452"/>
      <c r="AH10" s="265"/>
      <c r="AI10" s="266"/>
      <c r="AJ10" s="269"/>
      <c r="AK10" s="265"/>
      <c r="AL10" s="266"/>
      <c r="AM10" s="269"/>
      <c r="AN10" s="265"/>
      <c r="AO10" s="266"/>
      <c r="AP10" s="453"/>
      <c r="AQ10" s="450"/>
      <c r="AS10" s="449"/>
      <c r="AT10" s="452"/>
      <c r="AU10" s="265"/>
      <c r="AV10" s="266"/>
      <c r="AW10" s="269"/>
      <c r="AX10" s="265"/>
      <c r="AY10" s="266"/>
      <c r="AZ10" s="269"/>
      <c r="BA10" s="265"/>
      <c r="BB10" s="266"/>
      <c r="BC10" s="453"/>
      <c r="BD10" s="450"/>
      <c r="BF10" s="449"/>
      <c r="BG10" s="452"/>
      <c r="BH10" s="265"/>
      <c r="BI10" s="266"/>
      <c r="BJ10" s="269"/>
      <c r="BK10" s="265"/>
      <c r="BL10" s="266"/>
      <c r="BM10" s="269"/>
      <c r="BN10" s="265"/>
      <c r="BO10" s="266"/>
      <c r="BP10" s="453"/>
      <c r="BQ10" s="450"/>
    </row>
    <row r="11" spans="1:69" ht="56.85" hidden="1" customHeight="1" x14ac:dyDescent="0.25">
      <c r="A11" t="s">
        <v>368</v>
      </c>
      <c r="F11" s="449"/>
      <c r="G11" s="452"/>
      <c r="H11" s="267"/>
      <c r="I11" s="268"/>
      <c r="J11" s="263"/>
      <c r="K11" s="267"/>
      <c r="L11" s="268"/>
      <c r="M11" s="263"/>
      <c r="N11" s="267"/>
      <c r="O11" s="268"/>
      <c r="P11" s="453"/>
      <c r="Q11" s="450"/>
      <c r="S11" s="449"/>
      <c r="T11" s="452"/>
      <c r="U11" s="267"/>
      <c r="V11" s="268"/>
      <c r="W11" s="269"/>
      <c r="X11" s="267"/>
      <c r="Y11" s="268"/>
      <c r="Z11" s="269"/>
      <c r="AA11" s="267"/>
      <c r="AB11" s="268"/>
      <c r="AC11" s="453"/>
      <c r="AD11" s="450"/>
      <c r="AF11" s="449"/>
      <c r="AG11" s="452"/>
      <c r="AH11" s="267"/>
      <c r="AI11" s="268"/>
      <c r="AJ11" s="269"/>
      <c r="AK11" s="267"/>
      <c r="AL11" s="268"/>
      <c r="AM11" s="269"/>
      <c r="AN11" s="267"/>
      <c r="AO11" s="268"/>
      <c r="AP11" s="453"/>
      <c r="AQ11" s="450"/>
      <c r="AS11" s="449"/>
      <c r="AT11" s="452"/>
      <c r="AU11" s="267"/>
      <c r="AV11" s="268"/>
      <c r="AW11" s="269"/>
      <c r="AX11" s="267"/>
      <c r="AY11" s="268"/>
      <c r="AZ11" s="269"/>
      <c r="BA11" s="267"/>
      <c r="BB11" s="268"/>
      <c r="BC11" s="453"/>
      <c r="BD11" s="450"/>
      <c r="BF11" s="449"/>
      <c r="BG11" s="452"/>
      <c r="BH11" s="267"/>
      <c r="BI11" s="268"/>
      <c r="BJ11" s="269"/>
      <c r="BK11" s="267"/>
      <c r="BL11" s="268"/>
      <c r="BM11" s="269"/>
      <c r="BN11" s="267"/>
      <c r="BO11" s="268"/>
      <c r="BP11" s="453"/>
      <c r="BQ11" s="450"/>
    </row>
    <row r="12" spans="1:69" ht="9.9499999999999993" hidden="1" customHeight="1" x14ac:dyDescent="0.25">
      <c r="A12" t="s">
        <v>2</v>
      </c>
      <c r="F12" s="449"/>
      <c r="G12" s="452"/>
      <c r="H12" s="263"/>
      <c r="I12" s="263"/>
      <c r="J12" s="263"/>
      <c r="K12" s="263"/>
      <c r="L12" s="263"/>
      <c r="M12" s="263"/>
      <c r="N12" s="263"/>
      <c r="O12" s="263"/>
      <c r="P12" s="453"/>
      <c r="Q12" s="450"/>
      <c r="S12" s="449"/>
      <c r="T12" s="452"/>
      <c r="U12" s="269"/>
      <c r="V12" s="269"/>
      <c r="W12" s="269"/>
      <c r="X12" s="269"/>
      <c r="Y12" s="269"/>
      <c r="Z12" s="269"/>
      <c r="AA12" s="269"/>
      <c r="AB12" s="269"/>
      <c r="AC12" s="453"/>
      <c r="AD12" s="450"/>
      <c r="AF12" s="449"/>
      <c r="AG12" s="452"/>
      <c r="AH12" s="269"/>
      <c r="AI12" s="269"/>
      <c r="AJ12" s="269"/>
      <c r="AK12" s="269"/>
      <c r="AL12" s="269"/>
      <c r="AM12" s="269"/>
      <c r="AN12" s="269"/>
      <c r="AO12" s="269"/>
      <c r="AP12" s="453"/>
      <c r="AQ12" s="450"/>
      <c r="AS12" s="449"/>
      <c r="AT12" s="452"/>
      <c r="AU12" s="269"/>
      <c r="AV12" s="269"/>
      <c r="AW12" s="269"/>
      <c r="AX12" s="269"/>
      <c r="AY12" s="269"/>
      <c r="AZ12" s="269"/>
      <c r="BA12" s="269"/>
      <c r="BB12" s="269"/>
      <c r="BC12" s="453"/>
      <c r="BD12" s="450"/>
      <c r="BF12" s="449"/>
      <c r="BG12" s="452"/>
      <c r="BH12" s="269"/>
      <c r="BI12" s="269"/>
      <c r="BJ12" s="269"/>
      <c r="BK12" s="269"/>
      <c r="BL12" s="269"/>
      <c r="BM12" s="269"/>
      <c r="BN12" s="269"/>
      <c r="BO12" s="269"/>
      <c r="BP12" s="453"/>
      <c r="BQ12" s="450"/>
    </row>
    <row r="13" spans="1:69" ht="56.85" hidden="1" customHeight="1" x14ac:dyDescent="0.25">
      <c r="A13" t="s">
        <v>2</v>
      </c>
      <c r="F13" s="449"/>
      <c r="G13" s="452"/>
      <c r="H13" s="265"/>
      <c r="I13" s="266"/>
      <c r="J13" s="263"/>
      <c r="K13" s="265"/>
      <c r="L13" s="266"/>
      <c r="M13" s="263"/>
      <c r="N13" s="265"/>
      <c r="O13" s="266"/>
      <c r="P13" s="453"/>
      <c r="Q13" s="450"/>
      <c r="S13" s="449"/>
      <c r="T13" s="452"/>
      <c r="U13" s="265"/>
      <c r="V13" s="266"/>
      <c r="W13" s="269"/>
      <c r="X13" s="265"/>
      <c r="Y13" s="266"/>
      <c r="Z13" s="269"/>
      <c r="AA13" s="265"/>
      <c r="AB13" s="266"/>
      <c r="AC13" s="453"/>
      <c r="AD13" s="450"/>
      <c r="AF13" s="449"/>
      <c r="AG13" s="452"/>
      <c r="AH13" s="265"/>
      <c r="AI13" s="266"/>
      <c r="AJ13" s="269"/>
      <c r="AK13" s="265"/>
      <c r="AL13" s="266"/>
      <c r="AM13" s="269"/>
      <c r="AN13" s="265"/>
      <c r="AO13" s="266"/>
      <c r="AP13" s="453"/>
      <c r="AQ13" s="450"/>
      <c r="AS13" s="449"/>
      <c r="AT13" s="452"/>
      <c r="AU13" s="265"/>
      <c r="AV13" s="266"/>
      <c r="AW13" s="269"/>
      <c r="AX13" s="265"/>
      <c r="AY13" s="266"/>
      <c r="AZ13" s="269"/>
      <c r="BA13" s="265"/>
      <c r="BB13" s="266"/>
      <c r="BC13" s="453"/>
      <c r="BD13" s="450"/>
      <c r="BF13" s="449"/>
      <c r="BG13" s="452"/>
      <c r="BH13" s="265"/>
      <c r="BI13" s="266"/>
      <c r="BJ13" s="269"/>
      <c r="BK13" s="265"/>
      <c r="BL13" s="266"/>
      <c r="BM13" s="269"/>
      <c r="BN13" s="265"/>
      <c r="BO13" s="266"/>
      <c r="BP13" s="453"/>
      <c r="BQ13" s="450"/>
    </row>
    <row r="14" spans="1:69" ht="56.85" hidden="1" customHeight="1" x14ac:dyDescent="0.25">
      <c r="A14" t="s">
        <v>369</v>
      </c>
      <c r="F14" s="449"/>
      <c r="G14" s="452"/>
      <c r="H14" s="267"/>
      <c r="I14" s="268"/>
      <c r="J14" s="263"/>
      <c r="K14" s="267"/>
      <c r="L14" s="268"/>
      <c r="M14" s="263"/>
      <c r="N14" s="267"/>
      <c r="O14" s="268"/>
      <c r="P14" s="453"/>
      <c r="Q14" s="450"/>
      <c r="S14" s="449"/>
      <c r="T14" s="452"/>
      <c r="U14" s="267"/>
      <c r="V14" s="268"/>
      <c r="W14" s="269"/>
      <c r="X14" s="267"/>
      <c r="Y14" s="268"/>
      <c r="Z14" s="269"/>
      <c r="AA14" s="267"/>
      <c r="AB14" s="268"/>
      <c r="AC14" s="453"/>
      <c r="AD14" s="450"/>
      <c r="AF14" s="449"/>
      <c r="AG14" s="452"/>
      <c r="AH14" s="267"/>
      <c r="AI14" s="268"/>
      <c r="AJ14" s="269"/>
      <c r="AK14" s="267"/>
      <c r="AL14" s="268"/>
      <c r="AM14" s="269"/>
      <c r="AN14" s="267"/>
      <c r="AO14" s="268"/>
      <c r="AP14" s="453"/>
      <c r="AQ14" s="450"/>
      <c r="AS14" s="449"/>
      <c r="AT14" s="452"/>
      <c r="AU14" s="267"/>
      <c r="AV14" s="268"/>
      <c r="AW14" s="269"/>
      <c r="AX14" s="267"/>
      <c r="AY14" s="268"/>
      <c r="AZ14" s="269"/>
      <c r="BA14" s="267"/>
      <c r="BB14" s="268"/>
      <c r="BC14" s="453"/>
      <c r="BD14" s="450"/>
      <c r="BF14" s="449"/>
      <c r="BG14" s="452"/>
      <c r="BH14" s="267"/>
      <c r="BI14" s="268"/>
      <c r="BJ14" s="269"/>
      <c r="BK14" s="267"/>
      <c r="BL14" s="268"/>
      <c r="BM14" s="269"/>
      <c r="BN14" s="267"/>
      <c r="BO14" s="268"/>
      <c r="BP14" s="453"/>
      <c r="BQ14" s="450"/>
    </row>
    <row r="15" spans="1:69" ht="9.9499999999999993" hidden="1" customHeight="1" x14ac:dyDescent="0.25">
      <c r="A15" t="s">
        <v>370</v>
      </c>
      <c r="F15" s="449"/>
      <c r="G15" s="452"/>
      <c r="H15" s="263"/>
      <c r="I15" s="263"/>
      <c r="J15" s="263"/>
      <c r="K15" s="263"/>
      <c r="L15" s="263"/>
      <c r="M15" s="263"/>
      <c r="N15" s="263"/>
      <c r="O15" s="263"/>
      <c r="P15" s="453"/>
      <c r="Q15" s="450"/>
      <c r="S15" s="449"/>
      <c r="T15" s="452"/>
      <c r="U15" s="269"/>
      <c r="V15" s="269"/>
      <c r="W15" s="269"/>
      <c r="X15" s="269"/>
      <c r="Y15" s="269"/>
      <c r="Z15" s="269"/>
      <c r="AA15" s="269"/>
      <c r="AB15" s="269"/>
      <c r="AC15" s="453"/>
      <c r="AD15" s="450"/>
      <c r="AF15" s="449"/>
      <c r="AG15" s="452"/>
      <c r="AH15" s="269"/>
      <c r="AI15" s="269"/>
      <c r="AJ15" s="269"/>
      <c r="AK15" s="269"/>
      <c r="AL15" s="269"/>
      <c r="AM15" s="269"/>
      <c r="AN15" s="269"/>
      <c r="AO15" s="269"/>
      <c r="AP15" s="453"/>
      <c r="AQ15" s="450"/>
      <c r="AS15" s="449"/>
      <c r="AT15" s="452"/>
      <c r="AU15" s="269"/>
      <c r="AV15" s="269"/>
      <c r="AW15" s="269"/>
      <c r="AX15" s="269"/>
      <c r="AY15" s="269"/>
      <c r="AZ15" s="269"/>
      <c r="BA15" s="269"/>
      <c r="BB15" s="269"/>
      <c r="BC15" s="453"/>
      <c r="BD15" s="450"/>
      <c r="BF15" s="449"/>
      <c r="BG15" s="452"/>
      <c r="BH15" s="269"/>
      <c r="BI15" s="269"/>
      <c r="BJ15" s="269"/>
      <c r="BK15" s="269"/>
      <c r="BL15" s="269"/>
      <c r="BM15" s="269"/>
      <c r="BN15" s="269"/>
      <c r="BO15" s="269"/>
      <c r="BP15" s="453"/>
      <c r="BQ15" s="450"/>
    </row>
    <row r="16" spans="1:69" ht="56.85" hidden="1" customHeight="1" x14ac:dyDescent="0.25">
      <c r="A16" t="s">
        <v>3</v>
      </c>
      <c r="F16" s="449"/>
      <c r="G16" s="452"/>
      <c r="H16" s="265"/>
      <c r="I16" s="266"/>
      <c r="J16" s="263"/>
      <c r="K16" s="265"/>
      <c r="L16" s="266"/>
      <c r="M16" s="263"/>
      <c r="N16" s="265"/>
      <c r="O16" s="266"/>
      <c r="P16" s="453"/>
      <c r="Q16" s="450"/>
      <c r="S16" s="449"/>
      <c r="T16" s="452"/>
      <c r="U16" s="265"/>
      <c r="V16" s="266"/>
      <c r="W16" s="269"/>
      <c r="X16" s="265"/>
      <c r="Y16" s="266"/>
      <c r="Z16" s="269"/>
      <c r="AA16" s="265"/>
      <c r="AB16" s="266"/>
      <c r="AC16" s="453"/>
      <c r="AD16" s="450"/>
      <c r="AF16" s="449"/>
      <c r="AG16" s="452"/>
      <c r="AH16" s="265"/>
      <c r="AI16" s="266"/>
      <c r="AJ16" s="269"/>
      <c r="AK16" s="265"/>
      <c r="AL16" s="266"/>
      <c r="AM16" s="269"/>
      <c r="AN16" s="265"/>
      <c r="AO16" s="266"/>
      <c r="AP16" s="453"/>
      <c r="AQ16" s="450"/>
      <c r="AS16" s="449"/>
      <c r="AT16" s="452"/>
      <c r="AU16" s="265"/>
      <c r="AV16" s="266"/>
      <c r="AW16" s="269"/>
      <c r="AX16" s="265"/>
      <c r="AY16" s="266"/>
      <c r="AZ16" s="269"/>
      <c r="BA16" s="265"/>
      <c r="BB16" s="266"/>
      <c r="BC16" s="453"/>
      <c r="BD16" s="450"/>
      <c r="BF16" s="449"/>
      <c r="BG16" s="452"/>
      <c r="BH16" s="265"/>
      <c r="BI16" s="266"/>
      <c r="BJ16" s="269"/>
      <c r="BK16" s="265"/>
      <c r="BL16" s="266"/>
      <c r="BM16" s="269"/>
      <c r="BN16" s="265"/>
      <c r="BO16" s="266"/>
      <c r="BP16" s="453"/>
      <c r="BQ16" s="450"/>
    </row>
    <row r="17" spans="1:69" ht="56.85" hidden="1" customHeight="1" x14ac:dyDescent="0.25">
      <c r="A17" t="s">
        <v>4</v>
      </c>
      <c r="F17" s="449"/>
      <c r="G17" s="452"/>
      <c r="H17" s="267"/>
      <c r="I17" s="268"/>
      <c r="J17" s="263"/>
      <c r="K17" s="267"/>
      <c r="L17" s="268"/>
      <c r="M17" s="263"/>
      <c r="N17" s="267"/>
      <c r="O17" s="268"/>
      <c r="P17" s="453"/>
      <c r="Q17" s="450"/>
      <c r="S17" s="449"/>
      <c r="T17" s="452"/>
      <c r="U17" s="267"/>
      <c r="V17" s="268"/>
      <c r="W17" s="269"/>
      <c r="X17" s="267"/>
      <c r="Y17" s="268"/>
      <c r="Z17" s="269"/>
      <c r="AA17" s="267"/>
      <c r="AB17" s="268"/>
      <c r="AC17" s="453"/>
      <c r="AD17" s="450"/>
      <c r="AF17" s="449"/>
      <c r="AG17" s="452"/>
      <c r="AH17" s="267"/>
      <c r="AI17" s="268"/>
      <c r="AJ17" s="269"/>
      <c r="AK17" s="267"/>
      <c r="AL17" s="268"/>
      <c r="AM17" s="269"/>
      <c r="AN17" s="267"/>
      <c r="AO17" s="268"/>
      <c r="AP17" s="453"/>
      <c r="AQ17" s="450"/>
      <c r="AS17" s="449"/>
      <c r="AT17" s="452"/>
      <c r="AU17" s="267"/>
      <c r="AV17" s="268"/>
      <c r="AW17" s="269"/>
      <c r="AX17" s="267"/>
      <c r="AY17" s="268"/>
      <c r="AZ17" s="269"/>
      <c r="BA17" s="267"/>
      <c r="BB17" s="268"/>
      <c r="BC17" s="453"/>
      <c r="BD17" s="450"/>
      <c r="BF17" s="449"/>
      <c r="BG17" s="452"/>
      <c r="BH17" s="267"/>
      <c r="BI17" s="268"/>
      <c r="BJ17" s="269"/>
      <c r="BK17" s="267"/>
      <c r="BL17" s="268"/>
      <c r="BM17" s="269"/>
      <c r="BN17" s="267"/>
      <c r="BO17" s="268"/>
      <c r="BP17" s="453"/>
      <c r="BQ17" s="450"/>
    </row>
    <row r="18" spans="1:69" hidden="1" x14ac:dyDescent="0.25">
      <c r="A18" t="s">
        <v>5</v>
      </c>
      <c r="F18" s="449"/>
      <c r="G18" s="263"/>
      <c r="H18" s="451"/>
      <c r="I18" s="451"/>
      <c r="J18" s="451"/>
      <c r="K18" s="451"/>
      <c r="L18" s="451"/>
      <c r="M18" s="451"/>
      <c r="N18" s="451"/>
      <c r="O18" s="451"/>
      <c r="P18" s="263"/>
      <c r="Q18" s="450"/>
      <c r="S18" s="449"/>
      <c r="T18" s="263"/>
      <c r="U18" s="451"/>
      <c r="V18" s="451"/>
      <c r="W18" s="451"/>
      <c r="X18" s="451"/>
      <c r="Y18" s="451"/>
      <c r="Z18" s="451"/>
      <c r="AA18" s="451"/>
      <c r="AB18" s="451"/>
      <c r="AC18" s="263"/>
      <c r="AD18" s="450"/>
      <c r="AF18" s="449"/>
      <c r="AG18" s="263"/>
      <c r="AH18" s="451"/>
      <c r="AI18" s="451"/>
      <c r="AJ18" s="451"/>
      <c r="AK18" s="451"/>
      <c r="AL18" s="451"/>
      <c r="AM18" s="451"/>
      <c r="AN18" s="451"/>
      <c r="AO18" s="451"/>
      <c r="AP18" s="263"/>
      <c r="AQ18" s="450"/>
      <c r="AS18" s="449"/>
      <c r="AT18" s="263"/>
      <c r="AU18" s="451"/>
      <c r="AV18" s="451"/>
      <c r="AW18" s="451"/>
      <c r="AX18" s="451"/>
      <c r="AY18" s="451"/>
      <c r="AZ18" s="451"/>
      <c r="BA18" s="451"/>
      <c r="BB18" s="451"/>
      <c r="BC18" s="263"/>
      <c r="BD18" s="450"/>
      <c r="BF18" s="449"/>
      <c r="BG18" s="263"/>
      <c r="BH18" s="451"/>
      <c r="BI18" s="451"/>
      <c r="BJ18" s="451"/>
      <c r="BK18" s="451"/>
      <c r="BL18" s="451"/>
      <c r="BM18" s="451"/>
      <c r="BN18" s="451"/>
      <c r="BO18" s="451"/>
      <c r="BP18" s="263"/>
      <c r="BQ18" s="450"/>
    </row>
    <row r="19" spans="1:69" hidden="1" x14ac:dyDescent="0.25">
      <c r="A19" t="s">
        <v>6</v>
      </c>
      <c r="G19" s="448" t="s">
        <v>1251</v>
      </c>
      <c r="H19" s="448"/>
      <c r="I19" s="448"/>
      <c r="J19" s="448"/>
      <c r="K19" s="448"/>
      <c r="L19" s="448"/>
      <c r="M19" s="448"/>
      <c r="N19" s="448"/>
      <c r="O19" s="448"/>
      <c r="P19" s="448"/>
      <c r="T19" s="448" t="s">
        <v>1251</v>
      </c>
      <c r="U19" s="448"/>
      <c r="V19" s="448"/>
      <c r="W19" s="448"/>
      <c r="X19" s="448"/>
      <c r="Y19" s="448"/>
      <c r="Z19" s="448"/>
      <c r="AA19" s="448"/>
      <c r="AB19" s="448"/>
      <c r="AC19" s="448"/>
      <c r="AG19" s="448" t="s">
        <v>1251</v>
      </c>
      <c r="AH19" s="448"/>
      <c r="AI19" s="448"/>
      <c r="AJ19" s="448"/>
      <c r="AK19" s="448"/>
      <c r="AL19" s="448"/>
      <c r="AM19" s="448"/>
      <c r="AN19" s="448"/>
      <c r="AO19" s="448"/>
      <c r="AP19" s="448"/>
      <c r="AT19" s="448" t="s">
        <v>1251</v>
      </c>
      <c r="AU19" s="448"/>
      <c r="AV19" s="448"/>
      <c r="AW19" s="448"/>
      <c r="AX19" s="448"/>
      <c r="AY19" s="448"/>
      <c r="AZ19" s="448"/>
      <c r="BA19" s="448"/>
      <c r="BB19" s="448"/>
      <c r="BC19" s="448"/>
      <c r="BG19" s="448" t="s">
        <v>1251</v>
      </c>
      <c r="BH19" s="448"/>
      <c r="BI19" s="448"/>
      <c r="BJ19" s="448"/>
      <c r="BK19" s="448"/>
      <c r="BL19" s="448"/>
      <c r="BM19" s="448"/>
      <c r="BN19" s="448"/>
      <c r="BO19" s="448"/>
      <c r="BP19" s="448"/>
    </row>
    <row r="20" spans="1:69" hidden="1" x14ac:dyDescent="0.25">
      <c r="A20" t="s">
        <v>371</v>
      </c>
    </row>
    <row r="21" spans="1:69" hidden="1" x14ac:dyDescent="0.25">
      <c r="A21" t="s">
        <v>372</v>
      </c>
      <c r="G21" s="448" t="s">
        <v>1251</v>
      </c>
      <c r="H21" s="448"/>
      <c r="I21" s="448"/>
      <c r="J21" s="448"/>
      <c r="K21" s="448"/>
      <c r="L21" s="448"/>
      <c r="M21" s="448"/>
      <c r="N21" s="448"/>
      <c r="O21" s="448"/>
      <c r="P21" s="448"/>
      <c r="T21" s="448" t="s">
        <v>1251</v>
      </c>
      <c r="U21" s="448"/>
      <c r="V21" s="448"/>
      <c r="W21" s="448"/>
      <c r="X21" s="448"/>
      <c r="Y21" s="448"/>
      <c r="Z21" s="448"/>
      <c r="AA21" s="448"/>
      <c r="AB21" s="448"/>
      <c r="AC21" s="448"/>
      <c r="AG21" s="448" t="s">
        <v>1251</v>
      </c>
      <c r="AH21" s="448"/>
      <c r="AI21" s="448"/>
      <c r="AJ21" s="448"/>
      <c r="AK21" s="448"/>
      <c r="AL21" s="448"/>
      <c r="AM21" s="448"/>
      <c r="AN21" s="448"/>
      <c r="AO21" s="448"/>
      <c r="AP21" s="448"/>
      <c r="AT21" s="448" t="s">
        <v>1251</v>
      </c>
      <c r="AU21" s="448"/>
      <c r="AV21" s="448"/>
      <c r="AW21" s="448"/>
      <c r="AX21" s="448"/>
      <c r="AY21" s="448"/>
      <c r="AZ21" s="448"/>
      <c r="BA21" s="448"/>
      <c r="BB21" s="448"/>
      <c r="BC21" s="448"/>
      <c r="BG21" s="448" t="s">
        <v>1251</v>
      </c>
      <c r="BH21" s="448"/>
      <c r="BI21" s="448"/>
      <c r="BJ21" s="448"/>
      <c r="BK21" s="448"/>
      <c r="BL21" s="448"/>
      <c r="BM21" s="448"/>
      <c r="BN21" s="448"/>
      <c r="BO21" s="448"/>
      <c r="BP21" s="448"/>
    </row>
    <row r="22" spans="1:69" hidden="1" x14ac:dyDescent="0.25">
      <c r="A22" t="s">
        <v>7</v>
      </c>
      <c r="F22" s="449" t="s">
        <v>1251</v>
      </c>
      <c r="G22" s="263"/>
      <c r="H22" s="451"/>
      <c r="I22" s="451"/>
      <c r="J22" s="451"/>
      <c r="K22" s="451"/>
      <c r="L22" s="451"/>
      <c r="M22" s="451"/>
      <c r="N22" s="451"/>
      <c r="O22" s="451"/>
      <c r="P22" s="263"/>
      <c r="Q22" s="450" t="s">
        <v>1251</v>
      </c>
      <c r="S22" s="449" t="s">
        <v>1251</v>
      </c>
      <c r="T22" s="263"/>
      <c r="U22" s="451"/>
      <c r="V22" s="451"/>
      <c r="W22" s="451"/>
      <c r="X22" s="451"/>
      <c r="Y22" s="451"/>
      <c r="Z22" s="451"/>
      <c r="AA22" s="451"/>
      <c r="AB22" s="451"/>
      <c r="AC22" s="263"/>
      <c r="AD22" s="450" t="s">
        <v>1251</v>
      </c>
      <c r="AF22" s="449" t="s">
        <v>1251</v>
      </c>
      <c r="AG22" s="263"/>
      <c r="AH22" s="451"/>
      <c r="AI22" s="451"/>
      <c r="AJ22" s="451"/>
      <c r="AK22" s="451"/>
      <c r="AL22" s="451"/>
      <c r="AM22" s="451"/>
      <c r="AN22" s="451"/>
      <c r="AO22" s="451"/>
      <c r="AP22" s="263"/>
      <c r="AQ22" s="450" t="s">
        <v>1251</v>
      </c>
      <c r="AS22" s="449" t="s">
        <v>1251</v>
      </c>
      <c r="AT22" s="263"/>
      <c r="AU22" s="451"/>
      <c r="AV22" s="451"/>
      <c r="AW22" s="451"/>
      <c r="AX22" s="451"/>
      <c r="AY22" s="451"/>
      <c r="AZ22" s="451"/>
      <c r="BA22" s="451"/>
      <c r="BB22" s="451"/>
      <c r="BC22" s="263"/>
      <c r="BD22" s="450" t="s">
        <v>1251</v>
      </c>
      <c r="BF22" s="449" t="s">
        <v>1251</v>
      </c>
      <c r="BG22" s="263"/>
      <c r="BH22" s="451"/>
      <c r="BI22" s="451"/>
      <c r="BJ22" s="451"/>
      <c r="BK22" s="451"/>
      <c r="BL22" s="451"/>
      <c r="BM22" s="451"/>
      <c r="BN22" s="451"/>
      <c r="BO22" s="451"/>
      <c r="BP22" s="263"/>
      <c r="BQ22" s="450" t="s">
        <v>1251</v>
      </c>
    </row>
    <row r="23" spans="1:69" ht="56.85" hidden="1" customHeight="1" x14ac:dyDescent="0.25">
      <c r="A23" t="s">
        <v>8</v>
      </c>
      <c r="F23" s="449"/>
      <c r="G23" s="452"/>
      <c r="H23" s="265"/>
      <c r="I23" s="266"/>
      <c r="J23" s="269"/>
      <c r="K23" s="265"/>
      <c r="L23" s="266"/>
      <c r="M23" s="269"/>
      <c r="N23" s="265"/>
      <c r="O23" s="266"/>
      <c r="P23" s="453"/>
      <c r="Q23" s="450"/>
      <c r="S23" s="449"/>
      <c r="T23" s="452"/>
      <c r="U23" s="265"/>
      <c r="V23" s="266"/>
      <c r="W23" s="269"/>
      <c r="X23" s="265"/>
      <c r="Y23" s="266"/>
      <c r="Z23" s="269"/>
      <c r="AA23" s="265"/>
      <c r="AB23" s="266"/>
      <c r="AC23" s="453"/>
      <c r="AD23" s="450"/>
      <c r="AF23" s="449"/>
      <c r="AG23" s="452"/>
      <c r="AH23" s="265"/>
      <c r="AI23" s="266"/>
      <c r="AJ23" s="269"/>
      <c r="AK23" s="265"/>
      <c r="AL23" s="266"/>
      <c r="AM23" s="269"/>
      <c r="AN23" s="265"/>
      <c r="AO23" s="266"/>
      <c r="AP23" s="453"/>
      <c r="AQ23" s="450"/>
      <c r="AS23" s="449"/>
      <c r="AT23" s="452"/>
      <c r="AU23" s="265"/>
      <c r="AV23" s="266"/>
      <c r="AW23" s="269"/>
      <c r="AX23" s="265"/>
      <c r="AY23" s="266"/>
      <c r="AZ23" s="269"/>
      <c r="BA23" s="265"/>
      <c r="BB23" s="266"/>
      <c r="BC23" s="453"/>
      <c r="BD23" s="450"/>
      <c r="BF23" s="449"/>
      <c r="BG23" s="452"/>
      <c r="BH23" s="265"/>
      <c r="BI23" s="266"/>
      <c r="BJ23" s="269"/>
      <c r="BK23" s="265"/>
      <c r="BL23" s="266"/>
      <c r="BM23" s="269"/>
      <c r="BN23" s="265"/>
      <c r="BO23" s="266"/>
      <c r="BP23" s="453"/>
      <c r="BQ23" s="450"/>
    </row>
    <row r="24" spans="1:69" ht="56.85" hidden="1" customHeight="1" x14ac:dyDescent="0.25">
      <c r="A24" t="s">
        <v>9</v>
      </c>
      <c r="F24" s="449"/>
      <c r="G24" s="452"/>
      <c r="H24" s="267"/>
      <c r="I24" s="268"/>
      <c r="J24" s="269"/>
      <c r="K24" s="267"/>
      <c r="L24" s="268"/>
      <c r="M24" s="269"/>
      <c r="N24" s="267"/>
      <c r="O24" s="268"/>
      <c r="P24" s="453"/>
      <c r="Q24" s="450"/>
      <c r="S24" s="449"/>
      <c r="T24" s="452"/>
      <c r="U24" s="267"/>
      <c r="V24" s="268"/>
      <c r="W24" s="269"/>
      <c r="X24" s="267"/>
      <c r="Y24" s="268"/>
      <c r="Z24" s="269"/>
      <c r="AA24" s="267"/>
      <c r="AB24" s="268"/>
      <c r="AC24" s="453"/>
      <c r="AD24" s="450"/>
      <c r="AF24" s="449"/>
      <c r="AG24" s="452"/>
      <c r="AH24" s="267"/>
      <c r="AI24" s="268"/>
      <c r="AJ24" s="269"/>
      <c r="AK24" s="267"/>
      <c r="AL24" s="268"/>
      <c r="AM24" s="269"/>
      <c r="AN24" s="267"/>
      <c r="AO24" s="268"/>
      <c r="AP24" s="453"/>
      <c r="AQ24" s="450"/>
      <c r="AS24" s="449"/>
      <c r="AT24" s="452"/>
      <c r="AU24" s="267"/>
      <c r="AV24" s="268"/>
      <c r="AW24" s="269"/>
      <c r="AX24" s="267"/>
      <c r="AY24" s="268"/>
      <c r="AZ24" s="269"/>
      <c r="BA24" s="267"/>
      <c r="BB24" s="268"/>
      <c r="BC24" s="453"/>
      <c r="BD24" s="450"/>
      <c r="BF24" s="449"/>
      <c r="BG24" s="452"/>
      <c r="BH24" s="267"/>
      <c r="BI24" s="268"/>
      <c r="BJ24" s="269"/>
      <c r="BK24" s="267"/>
      <c r="BL24" s="268"/>
      <c r="BM24" s="269"/>
      <c r="BN24" s="267"/>
      <c r="BO24" s="268"/>
      <c r="BP24" s="453"/>
      <c r="BQ24" s="450"/>
    </row>
    <row r="25" spans="1:69" hidden="1" x14ac:dyDescent="0.25">
      <c r="A25" t="s">
        <v>10</v>
      </c>
      <c r="F25" s="449"/>
      <c r="G25" s="452"/>
      <c r="H25" s="269"/>
      <c r="I25" s="269"/>
      <c r="J25" s="269"/>
      <c r="K25" s="269"/>
      <c r="L25" s="269"/>
      <c r="M25" s="269"/>
      <c r="N25" s="269"/>
      <c r="O25" s="269"/>
      <c r="P25" s="453"/>
      <c r="Q25" s="450"/>
      <c r="S25" s="449"/>
      <c r="T25" s="452"/>
      <c r="U25" s="269"/>
      <c r="V25" s="269"/>
      <c r="W25" s="269"/>
      <c r="X25" s="269"/>
      <c r="Y25" s="269"/>
      <c r="Z25" s="269"/>
      <c r="AA25" s="269"/>
      <c r="AB25" s="269"/>
      <c r="AC25" s="453"/>
      <c r="AD25" s="450"/>
      <c r="AF25" s="449"/>
      <c r="AG25" s="452"/>
      <c r="AH25" s="269"/>
      <c r="AI25" s="269"/>
      <c r="AJ25" s="269"/>
      <c r="AK25" s="269"/>
      <c r="AL25" s="269"/>
      <c r="AM25" s="269"/>
      <c r="AN25" s="269"/>
      <c r="AO25" s="269"/>
      <c r="AP25" s="453"/>
      <c r="AQ25" s="450"/>
      <c r="AS25" s="449"/>
      <c r="AT25" s="452"/>
      <c r="AU25" s="269"/>
      <c r="AV25" s="269"/>
      <c r="AW25" s="269"/>
      <c r="AX25" s="269"/>
      <c r="AY25" s="269"/>
      <c r="AZ25" s="269"/>
      <c r="BA25" s="269"/>
      <c r="BB25" s="269"/>
      <c r="BC25" s="453"/>
      <c r="BD25" s="450"/>
      <c r="BF25" s="449"/>
      <c r="BG25" s="452"/>
      <c r="BH25" s="269"/>
      <c r="BI25" s="269"/>
      <c r="BJ25" s="269"/>
      <c r="BK25" s="269"/>
      <c r="BL25" s="269"/>
      <c r="BM25" s="269"/>
      <c r="BN25" s="269"/>
      <c r="BO25" s="269"/>
      <c r="BP25" s="453"/>
      <c r="BQ25" s="450"/>
    </row>
    <row r="26" spans="1:69" ht="56.85" hidden="1" customHeight="1" x14ac:dyDescent="0.25">
      <c r="A26" t="s">
        <v>11</v>
      </c>
      <c r="F26" s="449"/>
      <c r="G26" s="452"/>
      <c r="H26" s="265"/>
      <c r="I26" s="266"/>
      <c r="J26" s="269"/>
      <c r="K26" s="265"/>
      <c r="L26" s="266"/>
      <c r="M26" s="269"/>
      <c r="N26" s="265"/>
      <c r="O26" s="266"/>
      <c r="P26" s="453"/>
      <c r="Q26" s="450"/>
      <c r="S26" s="449"/>
      <c r="T26" s="452"/>
      <c r="U26" s="265"/>
      <c r="V26" s="266"/>
      <c r="W26" s="269"/>
      <c r="X26" s="265"/>
      <c r="Y26" s="266"/>
      <c r="Z26" s="269"/>
      <c r="AA26" s="265"/>
      <c r="AB26" s="266"/>
      <c r="AC26" s="453"/>
      <c r="AD26" s="450"/>
      <c r="AF26" s="449"/>
      <c r="AG26" s="452"/>
      <c r="AH26" s="265"/>
      <c r="AI26" s="266"/>
      <c r="AJ26" s="269"/>
      <c r="AK26" s="265"/>
      <c r="AL26" s="266"/>
      <c r="AM26" s="269"/>
      <c r="AN26" s="265"/>
      <c r="AO26" s="266"/>
      <c r="AP26" s="453"/>
      <c r="AQ26" s="450"/>
      <c r="AS26" s="449"/>
      <c r="AT26" s="452"/>
      <c r="AU26" s="265"/>
      <c r="AV26" s="266"/>
      <c r="AW26" s="269"/>
      <c r="AX26" s="265"/>
      <c r="AY26" s="266"/>
      <c r="AZ26" s="269"/>
      <c r="BA26" s="265"/>
      <c r="BB26" s="266"/>
      <c r="BC26" s="453"/>
      <c r="BD26" s="450"/>
      <c r="BF26" s="449"/>
      <c r="BG26" s="452"/>
      <c r="BH26" s="265"/>
      <c r="BI26" s="266"/>
      <c r="BJ26" s="269"/>
      <c r="BK26" s="265"/>
      <c r="BL26" s="266"/>
      <c r="BM26" s="269"/>
      <c r="BN26" s="265"/>
      <c r="BO26" s="266"/>
      <c r="BP26" s="453"/>
      <c r="BQ26" s="450"/>
    </row>
    <row r="27" spans="1:69" ht="56.85" hidden="1" customHeight="1" x14ac:dyDescent="0.25">
      <c r="A27" t="s">
        <v>12</v>
      </c>
      <c r="F27" s="449"/>
      <c r="G27" s="452"/>
      <c r="H27" s="267"/>
      <c r="I27" s="268"/>
      <c r="J27" s="269"/>
      <c r="K27" s="267"/>
      <c r="L27" s="268"/>
      <c r="M27" s="269"/>
      <c r="N27" s="267"/>
      <c r="O27" s="268"/>
      <c r="P27" s="453"/>
      <c r="Q27" s="450"/>
      <c r="S27" s="449"/>
      <c r="T27" s="452"/>
      <c r="U27" s="267"/>
      <c r="V27" s="268"/>
      <c r="W27" s="269"/>
      <c r="X27" s="267"/>
      <c r="Y27" s="268"/>
      <c r="Z27" s="269"/>
      <c r="AA27" s="267"/>
      <c r="AB27" s="268"/>
      <c r="AC27" s="453"/>
      <c r="AD27" s="450"/>
      <c r="AF27" s="449"/>
      <c r="AG27" s="452"/>
      <c r="AH27" s="267"/>
      <c r="AI27" s="268"/>
      <c r="AJ27" s="269"/>
      <c r="AK27" s="267"/>
      <c r="AL27" s="268"/>
      <c r="AM27" s="269"/>
      <c r="AN27" s="267"/>
      <c r="AO27" s="268"/>
      <c r="AP27" s="453"/>
      <c r="AQ27" s="450"/>
      <c r="AS27" s="449"/>
      <c r="AT27" s="452"/>
      <c r="AU27" s="267"/>
      <c r="AV27" s="268"/>
      <c r="AW27" s="269"/>
      <c r="AX27" s="267"/>
      <c r="AY27" s="268"/>
      <c r="AZ27" s="269"/>
      <c r="BA27" s="267"/>
      <c r="BB27" s="268"/>
      <c r="BC27" s="453"/>
      <c r="BD27" s="450"/>
      <c r="BF27" s="449"/>
      <c r="BG27" s="452"/>
      <c r="BH27" s="267"/>
      <c r="BI27" s="268"/>
      <c r="BJ27" s="269"/>
      <c r="BK27" s="267"/>
      <c r="BL27" s="268"/>
      <c r="BM27" s="269"/>
      <c r="BN27" s="267"/>
      <c r="BO27" s="268"/>
      <c r="BP27" s="453"/>
      <c r="BQ27" s="450"/>
    </row>
    <row r="28" spans="1:69" hidden="1" x14ac:dyDescent="0.25">
      <c r="A28" t="s">
        <v>373</v>
      </c>
      <c r="F28" s="449"/>
      <c r="G28" s="452"/>
      <c r="H28" s="269"/>
      <c r="I28" s="269"/>
      <c r="J28" s="269"/>
      <c r="K28" s="269"/>
      <c r="L28" s="269"/>
      <c r="M28" s="269"/>
      <c r="N28" s="269"/>
      <c r="O28" s="269"/>
      <c r="P28" s="453"/>
      <c r="Q28" s="450"/>
      <c r="S28" s="449"/>
      <c r="T28" s="452"/>
      <c r="U28" s="269"/>
      <c r="V28" s="269"/>
      <c r="W28" s="269"/>
      <c r="X28" s="269"/>
      <c r="Y28" s="269"/>
      <c r="Z28" s="269"/>
      <c r="AA28" s="269"/>
      <c r="AB28" s="269"/>
      <c r="AC28" s="453"/>
      <c r="AD28" s="450"/>
      <c r="AF28" s="449"/>
      <c r="AG28" s="452"/>
      <c r="AH28" s="269"/>
      <c r="AI28" s="269"/>
      <c r="AJ28" s="269"/>
      <c r="AK28" s="269"/>
      <c r="AL28" s="269"/>
      <c r="AM28" s="269"/>
      <c r="AN28" s="269"/>
      <c r="AO28" s="269"/>
      <c r="AP28" s="453"/>
      <c r="AQ28" s="450"/>
      <c r="AS28" s="449"/>
      <c r="AT28" s="452"/>
      <c r="AU28" s="269"/>
      <c r="AV28" s="269"/>
      <c r="AW28" s="269"/>
      <c r="AX28" s="269"/>
      <c r="AY28" s="269"/>
      <c r="AZ28" s="269"/>
      <c r="BA28" s="269"/>
      <c r="BB28" s="269"/>
      <c r="BC28" s="453"/>
      <c r="BD28" s="450"/>
      <c r="BF28" s="449"/>
      <c r="BG28" s="452"/>
      <c r="BH28" s="269"/>
      <c r="BI28" s="269"/>
      <c r="BJ28" s="269"/>
      <c r="BK28" s="269"/>
      <c r="BL28" s="269"/>
      <c r="BM28" s="269"/>
      <c r="BN28" s="269"/>
      <c r="BO28" s="269"/>
      <c r="BP28" s="453"/>
      <c r="BQ28" s="450"/>
    </row>
    <row r="29" spans="1:69" ht="56.85" hidden="1" customHeight="1" x14ac:dyDescent="0.25">
      <c r="A29" t="s">
        <v>13</v>
      </c>
      <c r="F29" s="449"/>
      <c r="G29" s="452"/>
      <c r="H29" s="265"/>
      <c r="I29" s="266"/>
      <c r="J29" s="269"/>
      <c r="K29" s="265"/>
      <c r="L29" s="266"/>
      <c r="M29" s="269"/>
      <c r="N29" s="265"/>
      <c r="O29" s="266"/>
      <c r="P29" s="453"/>
      <c r="Q29" s="450"/>
      <c r="S29" s="449"/>
      <c r="T29" s="452"/>
      <c r="U29" s="265"/>
      <c r="V29" s="266"/>
      <c r="W29" s="269"/>
      <c r="X29" s="265"/>
      <c r="Y29" s="266"/>
      <c r="Z29" s="269"/>
      <c r="AA29" s="265"/>
      <c r="AB29" s="266"/>
      <c r="AC29" s="453"/>
      <c r="AD29" s="450"/>
      <c r="AF29" s="449"/>
      <c r="AG29" s="452"/>
      <c r="AH29" s="265"/>
      <c r="AI29" s="266"/>
      <c r="AJ29" s="269"/>
      <c r="AK29" s="265"/>
      <c r="AL29" s="266"/>
      <c r="AM29" s="269"/>
      <c r="AN29" s="265"/>
      <c r="AO29" s="266"/>
      <c r="AP29" s="453"/>
      <c r="AQ29" s="450"/>
      <c r="AS29" s="449"/>
      <c r="AT29" s="452"/>
      <c r="AU29" s="265"/>
      <c r="AV29" s="266"/>
      <c r="AW29" s="269"/>
      <c r="AX29" s="265"/>
      <c r="AY29" s="266"/>
      <c r="AZ29" s="269"/>
      <c r="BA29" s="265"/>
      <c r="BB29" s="266"/>
      <c r="BC29" s="453"/>
      <c r="BD29" s="450"/>
      <c r="BF29" s="449"/>
      <c r="BG29" s="452"/>
      <c r="BH29" s="265"/>
      <c r="BI29" s="266"/>
      <c r="BJ29" s="269"/>
      <c r="BK29" s="265"/>
      <c r="BL29" s="266"/>
      <c r="BM29" s="269"/>
      <c r="BN29" s="265"/>
      <c r="BO29" s="266"/>
      <c r="BP29" s="453"/>
      <c r="BQ29" s="450"/>
    </row>
    <row r="30" spans="1:69" ht="56.85" hidden="1" customHeight="1" x14ac:dyDescent="0.25">
      <c r="A30" t="s">
        <v>14</v>
      </c>
      <c r="F30" s="449"/>
      <c r="G30" s="452"/>
      <c r="H30" s="267"/>
      <c r="I30" s="268"/>
      <c r="J30" s="269"/>
      <c r="K30" s="267"/>
      <c r="L30" s="268"/>
      <c r="M30" s="269"/>
      <c r="N30" s="267"/>
      <c r="O30" s="268"/>
      <c r="P30" s="453"/>
      <c r="Q30" s="450"/>
      <c r="S30" s="449"/>
      <c r="T30" s="452"/>
      <c r="U30" s="267"/>
      <c r="V30" s="268"/>
      <c r="W30" s="269"/>
      <c r="X30" s="267"/>
      <c r="Y30" s="268"/>
      <c r="Z30" s="269"/>
      <c r="AA30" s="267"/>
      <c r="AB30" s="268"/>
      <c r="AC30" s="453"/>
      <c r="AD30" s="450"/>
      <c r="AF30" s="449"/>
      <c r="AG30" s="452"/>
      <c r="AH30" s="267"/>
      <c r="AI30" s="268"/>
      <c r="AJ30" s="269"/>
      <c r="AK30" s="267"/>
      <c r="AL30" s="268"/>
      <c r="AM30" s="269"/>
      <c r="AN30" s="267"/>
      <c r="AO30" s="268"/>
      <c r="AP30" s="453"/>
      <c r="AQ30" s="450"/>
      <c r="AS30" s="449"/>
      <c r="AT30" s="452"/>
      <c r="AU30" s="267"/>
      <c r="AV30" s="268"/>
      <c r="AW30" s="269"/>
      <c r="AX30" s="267"/>
      <c r="AY30" s="268"/>
      <c r="AZ30" s="269"/>
      <c r="BA30" s="267"/>
      <c r="BB30" s="268"/>
      <c r="BC30" s="453"/>
      <c r="BD30" s="450"/>
      <c r="BF30" s="449"/>
      <c r="BG30" s="452"/>
      <c r="BH30" s="267"/>
      <c r="BI30" s="268"/>
      <c r="BJ30" s="269"/>
      <c r="BK30" s="267"/>
      <c r="BL30" s="268"/>
      <c r="BM30" s="269"/>
      <c r="BN30" s="267"/>
      <c r="BO30" s="268"/>
      <c r="BP30" s="453"/>
      <c r="BQ30" s="450"/>
    </row>
    <row r="31" spans="1:69" hidden="1" x14ac:dyDescent="0.25">
      <c r="A31" t="s">
        <v>15</v>
      </c>
      <c r="F31" s="449"/>
      <c r="G31" s="263"/>
      <c r="H31" s="451"/>
      <c r="I31" s="451"/>
      <c r="J31" s="451"/>
      <c r="K31" s="451"/>
      <c r="L31" s="451"/>
      <c r="M31" s="451"/>
      <c r="N31" s="451"/>
      <c r="O31" s="451"/>
      <c r="P31" s="263"/>
      <c r="Q31" s="450"/>
      <c r="S31" s="449"/>
      <c r="T31" s="263"/>
      <c r="U31" s="451"/>
      <c r="V31" s="451"/>
      <c r="W31" s="451"/>
      <c r="X31" s="451"/>
      <c r="Y31" s="451"/>
      <c r="Z31" s="451"/>
      <c r="AA31" s="451"/>
      <c r="AB31" s="451"/>
      <c r="AC31" s="263"/>
      <c r="AD31" s="450"/>
      <c r="AF31" s="449"/>
      <c r="AG31" s="263"/>
      <c r="AH31" s="451"/>
      <c r="AI31" s="451"/>
      <c r="AJ31" s="451"/>
      <c r="AK31" s="451"/>
      <c r="AL31" s="451"/>
      <c r="AM31" s="451"/>
      <c r="AN31" s="451"/>
      <c r="AO31" s="451"/>
      <c r="AP31" s="263"/>
      <c r="AQ31" s="450"/>
      <c r="AS31" s="449"/>
      <c r="AT31" s="263"/>
      <c r="AU31" s="451"/>
      <c r="AV31" s="451"/>
      <c r="AW31" s="451"/>
      <c r="AX31" s="451"/>
      <c r="AY31" s="451"/>
      <c r="AZ31" s="451"/>
      <c r="BA31" s="451"/>
      <c r="BB31" s="451"/>
      <c r="BC31" s="263"/>
      <c r="BD31" s="450"/>
      <c r="BF31" s="449"/>
      <c r="BG31" s="263"/>
      <c r="BH31" s="451"/>
      <c r="BI31" s="451"/>
      <c r="BJ31" s="451"/>
      <c r="BK31" s="451"/>
      <c r="BL31" s="451"/>
      <c r="BM31" s="451"/>
      <c r="BN31" s="451"/>
      <c r="BO31" s="451"/>
      <c r="BP31" s="263"/>
      <c r="BQ31" s="450"/>
    </row>
    <row r="32" spans="1:69" hidden="1" x14ac:dyDescent="0.25">
      <c r="A32" t="s">
        <v>154</v>
      </c>
      <c r="G32" s="448" t="s">
        <v>1251</v>
      </c>
      <c r="H32" s="448"/>
      <c r="I32" s="448"/>
      <c r="J32" s="448"/>
      <c r="K32" s="448"/>
      <c r="L32" s="448"/>
      <c r="M32" s="448"/>
      <c r="N32" s="448"/>
      <c r="O32" s="448"/>
      <c r="P32" s="448"/>
      <c r="T32" s="448" t="s">
        <v>1251</v>
      </c>
      <c r="U32" s="448"/>
      <c r="V32" s="448"/>
      <c r="W32" s="448"/>
      <c r="X32" s="448"/>
      <c r="Y32" s="448"/>
      <c r="Z32" s="448"/>
      <c r="AA32" s="448"/>
      <c r="AB32" s="448"/>
      <c r="AC32" s="448"/>
      <c r="AG32" s="448" t="s">
        <v>1251</v>
      </c>
      <c r="AH32" s="448"/>
      <c r="AI32" s="448"/>
      <c r="AJ32" s="448"/>
      <c r="AK32" s="448"/>
      <c r="AL32" s="448"/>
      <c r="AM32" s="448"/>
      <c r="AN32" s="448"/>
      <c r="AO32" s="448"/>
      <c r="AP32" s="448"/>
      <c r="AT32" s="448" t="s">
        <v>1251</v>
      </c>
      <c r="AU32" s="448"/>
      <c r="AV32" s="448"/>
      <c r="AW32" s="448"/>
      <c r="AX32" s="448"/>
      <c r="AY32" s="448"/>
      <c r="AZ32" s="448"/>
      <c r="BA32" s="448"/>
      <c r="BB32" s="448"/>
      <c r="BC32" s="448"/>
      <c r="BG32" s="448" t="s">
        <v>1251</v>
      </c>
      <c r="BH32" s="448"/>
      <c r="BI32" s="448"/>
      <c r="BJ32" s="448"/>
      <c r="BK32" s="448"/>
      <c r="BL32" s="448"/>
      <c r="BM32" s="448"/>
      <c r="BN32" s="448"/>
      <c r="BO32" s="448"/>
      <c r="BP32" s="448"/>
    </row>
    <row r="33" spans="1:69" hidden="1" x14ac:dyDescent="0.25">
      <c r="A33" t="s">
        <v>16</v>
      </c>
    </row>
    <row r="34" spans="1:69" x14ac:dyDescent="0.25">
      <c r="A34" t="s">
        <v>17</v>
      </c>
      <c r="G34" s="448" t="s">
        <v>1251</v>
      </c>
      <c r="H34" s="448"/>
      <c r="I34" s="448"/>
      <c r="J34" s="448"/>
      <c r="K34" s="448"/>
      <c r="L34" s="448"/>
      <c r="M34" s="448"/>
      <c r="N34" s="448"/>
      <c r="O34" s="448"/>
      <c r="P34" s="448"/>
      <c r="T34" s="448" t="s">
        <v>1251</v>
      </c>
      <c r="U34" s="448"/>
      <c r="V34" s="448"/>
      <c r="W34" s="448"/>
      <c r="X34" s="448"/>
      <c r="Y34" s="448"/>
      <c r="Z34" s="448"/>
      <c r="AA34" s="448"/>
      <c r="AB34" s="448"/>
      <c r="AC34" s="448"/>
      <c r="AG34" s="448" t="s">
        <v>1251</v>
      </c>
      <c r="AH34" s="448"/>
      <c r="AI34" s="448"/>
      <c r="AJ34" s="448"/>
      <c r="AK34" s="448"/>
      <c r="AL34" s="448"/>
      <c r="AM34" s="448"/>
      <c r="AN34" s="448"/>
      <c r="AO34" s="448"/>
      <c r="AP34" s="448"/>
      <c r="AT34" s="448" t="s">
        <v>1251</v>
      </c>
      <c r="AU34" s="448"/>
      <c r="AV34" s="448"/>
      <c r="AW34" s="448"/>
      <c r="AX34" s="448"/>
      <c r="AY34" s="448"/>
      <c r="AZ34" s="448"/>
      <c r="BA34" s="448"/>
      <c r="BB34" s="448"/>
      <c r="BC34" s="448"/>
      <c r="BG34" s="448" t="s">
        <v>1251</v>
      </c>
      <c r="BH34" s="448"/>
      <c r="BI34" s="448"/>
      <c r="BJ34" s="448"/>
      <c r="BK34" s="448"/>
      <c r="BL34" s="448"/>
      <c r="BM34" s="448"/>
      <c r="BN34" s="448"/>
      <c r="BO34" s="448"/>
      <c r="BP34" s="448"/>
    </row>
    <row r="35" spans="1:69" x14ac:dyDescent="0.25">
      <c r="A35" t="s">
        <v>18</v>
      </c>
      <c r="F35" s="449" t="s">
        <v>1251</v>
      </c>
      <c r="G35" s="263"/>
      <c r="H35" s="451"/>
      <c r="I35" s="451"/>
      <c r="J35" s="451"/>
      <c r="K35" s="451"/>
      <c r="L35" s="451"/>
      <c r="M35" s="451"/>
      <c r="N35" s="451"/>
      <c r="O35" s="451"/>
      <c r="P35" s="263"/>
      <c r="Q35" s="450" t="s">
        <v>1251</v>
      </c>
      <c r="S35" s="449" t="s">
        <v>1251</v>
      </c>
      <c r="T35" s="263"/>
      <c r="U35" s="451"/>
      <c r="V35" s="451"/>
      <c r="W35" s="451"/>
      <c r="X35" s="451"/>
      <c r="Y35" s="451"/>
      <c r="Z35" s="451"/>
      <c r="AA35" s="451"/>
      <c r="AB35" s="451"/>
      <c r="AC35" s="263"/>
      <c r="AD35" s="450" t="s">
        <v>1251</v>
      </c>
      <c r="AF35" s="449" t="s">
        <v>1251</v>
      </c>
      <c r="AG35" s="263"/>
      <c r="AH35" s="451"/>
      <c r="AI35" s="451"/>
      <c r="AJ35" s="451"/>
      <c r="AK35" s="451"/>
      <c r="AL35" s="451"/>
      <c r="AM35" s="451"/>
      <c r="AN35" s="451"/>
      <c r="AO35" s="451"/>
      <c r="AP35" s="263"/>
      <c r="AQ35" s="450" t="s">
        <v>1250</v>
      </c>
      <c r="AS35" s="449" t="s">
        <v>1251</v>
      </c>
      <c r="AT35" s="263"/>
      <c r="AU35" s="451"/>
      <c r="AV35" s="451"/>
      <c r="AW35" s="451"/>
      <c r="AX35" s="451"/>
      <c r="AY35" s="451"/>
      <c r="AZ35" s="451"/>
      <c r="BA35" s="451"/>
      <c r="BB35" s="451"/>
      <c r="BC35" s="263"/>
      <c r="BD35" s="450" t="s">
        <v>1251</v>
      </c>
      <c r="BF35" s="449" t="s">
        <v>1251</v>
      </c>
      <c r="BG35" s="263"/>
      <c r="BH35" s="451"/>
      <c r="BI35" s="451"/>
      <c r="BJ35" s="451"/>
      <c r="BK35" s="451"/>
      <c r="BL35" s="451"/>
      <c r="BM35" s="451"/>
      <c r="BN35" s="451"/>
      <c r="BO35" s="451"/>
      <c r="BP35" s="263"/>
      <c r="BQ35" s="450" t="s">
        <v>1251</v>
      </c>
    </row>
    <row r="36" spans="1:69" ht="56.85" customHeight="1" x14ac:dyDescent="0.25">
      <c r="A36" t="s">
        <v>19</v>
      </c>
      <c r="F36" s="449"/>
      <c r="G36" s="452"/>
      <c r="H36" s="265"/>
      <c r="I36" s="266"/>
      <c r="J36" s="269"/>
      <c r="K36" s="265"/>
      <c r="L36" s="266"/>
      <c r="M36" s="269"/>
      <c r="N36" s="265"/>
      <c r="O36" s="266"/>
      <c r="P36" s="453"/>
      <c r="Q36" s="450"/>
      <c r="S36" s="449"/>
      <c r="T36" s="452"/>
      <c r="U36" s="265"/>
      <c r="V36" s="266"/>
      <c r="W36" s="269"/>
      <c r="X36" s="265"/>
      <c r="Y36" s="266"/>
      <c r="Z36" s="269"/>
      <c r="AA36" s="265"/>
      <c r="AB36" s="266"/>
      <c r="AC36" s="453"/>
      <c r="AD36" s="450"/>
      <c r="AF36" s="449"/>
      <c r="AG36" s="452"/>
      <c r="AH36" s="276"/>
      <c r="AI36" s="277"/>
      <c r="AJ36" s="278"/>
      <c r="AK36" s="276"/>
      <c r="AL36" s="277"/>
      <c r="AM36" s="278"/>
      <c r="AN36" s="276"/>
      <c r="AO36" s="277"/>
      <c r="AP36" s="453" t="s">
        <v>10</v>
      </c>
      <c r="AQ36" s="450"/>
      <c r="AS36" s="449"/>
      <c r="AT36" s="452"/>
      <c r="AU36" s="265"/>
      <c r="AV36" s="266"/>
      <c r="AW36" s="269"/>
      <c r="AX36" s="265"/>
      <c r="AY36" s="266"/>
      <c r="AZ36" s="269"/>
      <c r="BA36" s="265"/>
      <c r="BB36" s="266"/>
      <c r="BC36" s="453"/>
      <c r="BD36" s="450"/>
      <c r="BF36" s="449"/>
      <c r="BG36" s="452"/>
      <c r="BH36" s="265"/>
      <c r="BI36" s="266"/>
      <c r="BJ36" s="269"/>
      <c r="BK36" s="265"/>
      <c r="BL36" s="266"/>
      <c r="BM36" s="269"/>
      <c r="BN36" s="265"/>
      <c r="BO36" s="266"/>
      <c r="BP36" s="453"/>
      <c r="BQ36" s="450"/>
    </row>
    <row r="37" spans="1:69" ht="56.85" customHeight="1" x14ac:dyDescent="0.25">
      <c r="A37" t="s">
        <v>374</v>
      </c>
      <c r="F37" s="449"/>
      <c r="G37" s="452"/>
      <c r="H37" s="267"/>
      <c r="I37" s="268"/>
      <c r="J37" s="269"/>
      <c r="K37" s="267"/>
      <c r="L37" s="268"/>
      <c r="M37" s="269"/>
      <c r="N37" s="267"/>
      <c r="O37" s="268"/>
      <c r="P37" s="453"/>
      <c r="Q37" s="450"/>
      <c r="S37" s="449"/>
      <c r="T37" s="452"/>
      <c r="U37" s="267"/>
      <c r="V37" s="268"/>
      <c r="W37" s="269"/>
      <c r="X37" s="267"/>
      <c r="Y37" s="268"/>
      <c r="Z37" s="269"/>
      <c r="AA37" s="267"/>
      <c r="AB37" s="268"/>
      <c r="AC37" s="453"/>
      <c r="AD37" s="450"/>
      <c r="AF37" s="449"/>
      <c r="AG37" s="452"/>
      <c r="AH37" s="279"/>
      <c r="AI37" s="280"/>
      <c r="AJ37" s="278"/>
      <c r="AK37" s="279"/>
      <c r="AL37" s="280" t="s">
        <v>17</v>
      </c>
      <c r="AM37" s="278"/>
      <c r="AN37" s="279"/>
      <c r="AO37" s="280"/>
      <c r="AP37" s="453"/>
      <c r="AQ37" s="450"/>
      <c r="AS37" s="449"/>
      <c r="AT37" s="452"/>
      <c r="AU37" s="267"/>
      <c r="AV37" s="268"/>
      <c r="AW37" s="269"/>
      <c r="AX37" s="267"/>
      <c r="AY37" s="268"/>
      <c r="AZ37" s="269"/>
      <c r="BA37" s="267"/>
      <c r="BB37" s="268"/>
      <c r="BC37" s="453"/>
      <c r="BD37" s="450"/>
      <c r="BF37" s="449"/>
      <c r="BG37" s="452"/>
      <c r="BH37" s="267"/>
      <c r="BI37" s="268"/>
      <c r="BJ37" s="269"/>
      <c r="BK37" s="267"/>
      <c r="BL37" s="268"/>
      <c r="BM37" s="269"/>
      <c r="BN37" s="267"/>
      <c r="BO37" s="268"/>
      <c r="BP37" s="453"/>
      <c r="BQ37" s="450"/>
    </row>
    <row r="38" spans="1:69" x14ac:dyDescent="0.25">
      <c r="A38" t="s">
        <v>20</v>
      </c>
      <c r="F38" s="449"/>
      <c r="G38" s="452"/>
      <c r="H38" s="269"/>
      <c r="I38" s="269"/>
      <c r="J38" s="269"/>
      <c r="K38" s="269"/>
      <c r="L38" s="269"/>
      <c r="M38" s="269"/>
      <c r="N38" s="269"/>
      <c r="O38" s="269"/>
      <c r="P38" s="453"/>
      <c r="Q38" s="450"/>
      <c r="S38" s="449"/>
      <c r="T38" s="452"/>
      <c r="U38" s="269"/>
      <c r="V38" s="269"/>
      <c r="W38" s="269"/>
      <c r="X38" s="269"/>
      <c r="Y38" s="269"/>
      <c r="Z38" s="269"/>
      <c r="AA38" s="269"/>
      <c r="AB38" s="269"/>
      <c r="AC38" s="453"/>
      <c r="AD38" s="450"/>
      <c r="AF38" s="449"/>
      <c r="AG38" s="452"/>
      <c r="AH38" s="278"/>
      <c r="AI38" s="278"/>
      <c r="AJ38" s="278"/>
      <c r="AK38" s="278"/>
      <c r="AL38" s="278"/>
      <c r="AM38" s="278"/>
      <c r="AN38" s="278"/>
      <c r="AO38" s="278"/>
      <c r="AP38" s="453"/>
      <c r="AQ38" s="450"/>
      <c r="AS38" s="449"/>
      <c r="AT38" s="452"/>
      <c r="AU38" s="269"/>
      <c r="AV38" s="269"/>
      <c r="AW38" s="269"/>
      <c r="AX38" s="269"/>
      <c r="AY38" s="269"/>
      <c r="AZ38" s="269"/>
      <c r="BA38" s="269"/>
      <c r="BB38" s="269"/>
      <c r="BC38" s="453"/>
      <c r="BD38" s="450"/>
      <c r="BF38" s="449"/>
      <c r="BG38" s="452"/>
      <c r="BH38" s="269"/>
      <c r="BI38" s="269"/>
      <c r="BJ38" s="269"/>
      <c r="BK38" s="269"/>
      <c r="BL38" s="269"/>
      <c r="BM38" s="269"/>
      <c r="BN38" s="269"/>
      <c r="BO38" s="269"/>
      <c r="BP38" s="453"/>
      <c r="BQ38" s="450"/>
    </row>
    <row r="39" spans="1:69" ht="56.85" customHeight="1" x14ac:dyDescent="0.25">
      <c r="A39" t="s">
        <v>21</v>
      </c>
      <c r="F39" s="449"/>
      <c r="G39" s="452"/>
      <c r="H39" s="265"/>
      <c r="I39" s="266"/>
      <c r="J39" s="269"/>
      <c r="K39" s="265"/>
      <c r="L39" s="266"/>
      <c r="M39" s="269"/>
      <c r="N39" s="265"/>
      <c r="O39" s="266"/>
      <c r="P39" s="453"/>
      <c r="Q39" s="450"/>
      <c r="S39" s="449"/>
      <c r="T39" s="452"/>
      <c r="U39" s="265"/>
      <c r="V39" s="266"/>
      <c r="W39" s="269"/>
      <c r="X39" s="265"/>
      <c r="Y39" s="266"/>
      <c r="Z39" s="269"/>
      <c r="AA39" s="265"/>
      <c r="AB39" s="266"/>
      <c r="AC39" s="453"/>
      <c r="AD39" s="450"/>
      <c r="AF39" s="449"/>
      <c r="AG39" s="452"/>
      <c r="AH39" s="276"/>
      <c r="AI39" s="277"/>
      <c r="AJ39" s="278"/>
      <c r="AK39" s="276"/>
      <c r="AL39" s="277"/>
      <c r="AM39" s="278"/>
      <c r="AN39" s="276"/>
      <c r="AO39" s="277"/>
      <c r="AP39" s="453"/>
      <c r="AQ39" s="450"/>
      <c r="AS39" s="449"/>
      <c r="AT39" s="452"/>
      <c r="AU39" s="265"/>
      <c r="AV39" s="266"/>
      <c r="AW39" s="269"/>
      <c r="AX39" s="265"/>
      <c r="AY39" s="266"/>
      <c r="AZ39" s="269"/>
      <c r="BA39" s="265"/>
      <c r="BB39" s="266"/>
      <c r="BC39" s="453"/>
      <c r="BD39" s="450"/>
      <c r="BF39" s="449"/>
      <c r="BG39" s="452"/>
      <c r="BH39" s="265"/>
      <c r="BI39" s="266"/>
      <c r="BJ39" s="269"/>
      <c r="BK39" s="265"/>
      <c r="BL39" s="266"/>
      <c r="BM39" s="269"/>
      <c r="BN39" s="265"/>
      <c r="BO39" s="266"/>
      <c r="BP39" s="453"/>
      <c r="BQ39" s="450"/>
    </row>
    <row r="40" spans="1:69" ht="56.85" customHeight="1" x14ac:dyDescent="0.25">
      <c r="A40" t="s">
        <v>22</v>
      </c>
      <c r="F40" s="449"/>
      <c r="G40" s="452"/>
      <c r="H40" s="267"/>
      <c r="I40" s="268"/>
      <c r="J40" s="269"/>
      <c r="K40" s="267"/>
      <c r="L40" s="268"/>
      <c r="M40" s="269"/>
      <c r="N40" s="267"/>
      <c r="O40" s="268"/>
      <c r="P40" s="453"/>
      <c r="Q40" s="450"/>
      <c r="S40" s="449"/>
      <c r="T40" s="452"/>
      <c r="U40" s="267"/>
      <c r="V40" s="268"/>
      <c r="W40" s="269"/>
      <c r="X40" s="267"/>
      <c r="Y40" s="268"/>
      <c r="Z40" s="269"/>
      <c r="AA40" s="267"/>
      <c r="AB40" s="268"/>
      <c r="AC40" s="453"/>
      <c r="AD40" s="450"/>
      <c r="AF40" s="449"/>
      <c r="AG40" s="452"/>
      <c r="AH40" s="279"/>
      <c r="AI40" s="280"/>
      <c r="AJ40" s="278"/>
      <c r="AK40" s="279"/>
      <c r="AL40" s="280"/>
      <c r="AM40" s="278"/>
      <c r="AN40" s="279"/>
      <c r="AO40" s="280"/>
      <c r="AP40" s="453"/>
      <c r="AQ40" s="450"/>
      <c r="AS40" s="449"/>
      <c r="AT40" s="452"/>
      <c r="AU40" s="267"/>
      <c r="AV40" s="268"/>
      <c r="AW40" s="269"/>
      <c r="AX40" s="267"/>
      <c r="AY40" s="268"/>
      <c r="AZ40" s="269"/>
      <c r="BA40" s="267"/>
      <c r="BB40" s="268"/>
      <c r="BC40" s="453"/>
      <c r="BD40" s="450"/>
      <c r="BF40" s="449"/>
      <c r="BG40" s="452"/>
      <c r="BH40" s="267"/>
      <c r="BI40" s="268"/>
      <c r="BJ40" s="269"/>
      <c r="BK40" s="267"/>
      <c r="BL40" s="268"/>
      <c r="BM40" s="269"/>
      <c r="BN40" s="267"/>
      <c r="BO40" s="268"/>
      <c r="BP40" s="453"/>
      <c r="BQ40" s="450"/>
    </row>
    <row r="41" spans="1:69" x14ac:dyDescent="0.25">
      <c r="A41" t="s">
        <v>23</v>
      </c>
      <c r="F41" s="449"/>
      <c r="G41" s="452"/>
      <c r="H41" s="269"/>
      <c r="I41" s="269"/>
      <c r="J41" s="269"/>
      <c r="K41" s="269"/>
      <c r="L41" s="269"/>
      <c r="M41" s="269"/>
      <c r="N41" s="269"/>
      <c r="O41" s="269"/>
      <c r="P41" s="453"/>
      <c r="Q41" s="450"/>
      <c r="S41" s="449"/>
      <c r="T41" s="452"/>
      <c r="U41" s="269"/>
      <c r="V41" s="269"/>
      <c r="W41" s="269"/>
      <c r="X41" s="269"/>
      <c r="Y41" s="269"/>
      <c r="Z41" s="269"/>
      <c r="AA41" s="269"/>
      <c r="AB41" s="269"/>
      <c r="AC41" s="453"/>
      <c r="AD41" s="450"/>
      <c r="AF41" s="449"/>
      <c r="AG41" s="452"/>
      <c r="AH41" s="278"/>
      <c r="AI41" s="278"/>
      <c r="AJ41" s="278"/>
      <c r="AK41" s="278"/>
      <c r="AL41" s="278"/>
      <c r="AM41" s="278"/>
      <c r="AN41" s="278"/>
      <c r="AO41" s="278"/>
      <c r="AP41" s="453"/>
      <c r="AQ41" s="450"/>
      <c r="AS41" s="449"/>
      <c r="AT41" s="452"/>
      <c r="AU41" s="269"/>
      <c r="AV41" s="269"/>
      <c r="AW41" s="269"/>
      <c r="AX41" s="269"/>
      <c r="AY41" s="269"/>
      <c r="AZ41" s="269"/>
      <c r="BA41" s="269"/>
      <c r="BB41" s="269"/>
      <c r="BC41" s="453"/>
      <c r="BD41" s="450"/>
      <c r="BF41" s="449"/>
      <c r="BG41" s="452"/>
      <c r="BH41" s="269"/>
      <c r="BI41" s="269"/>
      <c r="BJ41" s="269"/>
      <c r="BK41" s="269"/>
      <c r="BL41" s="269"/>
      <c r="BM41" s="269"/>
      <c r="BN41" s="269"/>
      <c r="BO41" s="269"/>
      <c r="BP41" s="453"/>
      <c r="BQ41" s="450"/>
    </row>
    <row r="42" spans="1:69" ht="56.85" customHeight="1" x14ac:dyDescent="0.25">
      <c r="A42" t="s">
        <v>24</v>
      </c>
      <c r="F42" s="449"/>
      <c r="G42" s="452"/>
      <c r="H42" s="265"/>
      <c r="I42" s="266"/>
      <c r="J42" s="269"/>
      <c r="K42" s="265"/>
      <c r="L42" s="266"/>
      <c r="M42" s="269"/>
      <c r="N42" s="265"/>
      <c r="O42" s="266"/>
      <c r="P42" s="453"/>
      <c r="Q42" s="450"/>
      <c r="S42" s="449"/>
      <c r="T42" s="452"/>
      <c r="U42" s="265"/>
      <c r="V42" s="266"/>
      <c r="W42" s="269"/>
      <c r="X42" s="265"/>
      <c r="Y42" s="266"/>
      <c r="Z42" s="269"/>
      <c r="AA42" s="265"/>
      <c r="AB42" s="266"/>
      <c r="AC42" s="453"/>
      <c r="AD42" s="450"/>
      <c r="AF42" s="449"/>
      <c r="AG42" s="452"/>
      <c r="AH42" s="276"/>
      <c r="AI42" s="277"/>
      <c r="AJ42" s="278"/>
      <c r="AK42" s="276"/>
      <c r="AL42" s="277"/>
      <c r="AM42" s="278"/>
      <c r="AN42" s="276"/>
      <c r="AO42" s="277"/>
      <c r="AP42" s="453"/>
      <c r="AQ42" s="450"/>
      <c r="AS42" s="449"/>
      <c r="AT42" s="452"/>
      <c r="AU42" s="265"/>
      <c r="AV42" s="266"/>
      <c r="AW42" s="269"/>
      <c r="AX42" s="265"/>
      <c r="AY42" s="266"/>
      <c r="AZ42" s="269"/>
      <c r="BA42" s="265"/>
      <c r="BB42" s="266"/>
      <c r="BC42" s="453"/>
      <c r="BD42" s="450"/>
      <c r="BF42" s="449"/>
      <c r="BG42" s="452"/>
      <c r="BH42" s="265"/>
      <c r="BI42" s="266"/>
      <c r="BJ42" s="269"/>
      <c r="BK42" s="265"/>
      <c r="BL42" s="266"/>
      <c r="BM42" s="269"/>
      <c r="BN42" s="265"/>
      <c r="BO42" s="266"/>
      <c r="BP42" s="453"/>
      <c r="BQ42" s="450"/>
    </row>
    <row r="43" spans="1:69" ht="56.85" customHeight="1" x14ac:dyDescent="0.25">
      <c r="A43" t="s">
        <v>25</v>
      </c>
      <c r="F43" s="449"/>
      <c r="G43" s="452"/>
      <c r="H43" s="267"/>
      <c r="I43" s="268"/>
      <c r="J43" s="269"/>
      <c r="K43" s="267"/>
      <c r="L43" s="268"/>
      <c r="M43" s="269"/>
      <c r="N43" s="267"/>
      <c r="O43" s="268"/>
      <c r="P43" s="453"/>
      <c r="Q43" s="450"/>
      <c r="S43" s="449"/>
      <c r="T43" s="452"/>
      <c r="U43" s="267"/>
      <c r="V43" s="268"/>
      <c r="W43" s="269"/>
      <c r="X43" s="267"/>
      <c r="Y43" s="268"/>
      <c r="Z43" s="269"/>
      <c r="AA43" s="267"/>
      <c r="AB43" s="268"/>
      <c r="AC43" s="453"/>
      <c r="AD43" s="450"/>
      <c r="AF43" s="449"/>
      <c r="AG43" s="452"/>
      <c r="AH43" s="279"/>
      <c r="AI43" s="280"/>
      <c r="AJ43" s="278"/>
      <c r="AK43" s="279"/>
      <c r="AL43" s="280"/>
      <c r="AM43" s="278"/>
      <c r="AN43" s="279"/>
      <c r="AO43" s="280"/>
      <c r="AP43" s="453"/>
      <c r="AQ43" s="450"/>
      <c r="AS43" s="449"/>
      <c r="AT43" s="452"/>
      <c r="AU43" s="267"/>
      <c r="AV43" s="268"/>
      <c r="AW43" s="269"/>
      <c r="AX43" s="267"/>
      <c r="AY43" s="268"/>
      <c r="AZ43" s="269"/>
      <c r="BA43" s="267"/>
      <c r="BB43" s="268"/>
      <c r="BC43" s="453"/>
      <c r="BD43" s="450"/>
      <c r="BF43" s="449"/>
      <c r="BG43" s="452"/>
      <c r="BH43" s="267"/>
      <c r="BI43" s="268"/>
      <c r="BJ43" s="269"/>
      <c r="BK43" s="267"/>
      <c r="BL43" s="268"/>
      <c r="BM43" s="269"/>
      <c r="BN43" s="267"/>
      <c r="BO43" s="268"/>
      <c r="BP43" s="453"/>
      <c r="BQ43" s="450"/>
    </row>
    <row r="44" spans="1:69" x14ac:dyDescent="0.25">
      <c r="A44" t="s">
        <v>375</v>
      </c>
      <c r="F44" s="449"/>
      <c r="G44" s="263"/>
      <c r="H44" s="451"/>
      <c r="I44" s="451"/>
      <c r="J44" s="451"/>
      <c r="K44" s="451"/>
      <c r="L44" s="451"/>
      <c r="M44" s="451"/>
      <c r="N44" s="451"/>
      <c r="O44" s="451"/>
      <c r="P44" s="263"/>
      <c r="Q44" s="450"/>
      <c r="S44" s="449"/>
      <c r="T44" s="263"/>
      <c r="U44" s="451"/>
      <c r="V44" s="451"/>
      <c r="W44" s="451"/>
      <c r="X44" s="451"/>
      <c r="Y44" s="451"/>
      <c r="Z44" s="451"/>
      <c r="AA44" s="451"/>
      <c r="AB44" s="451"/>
      <c r="AC44" s="263"/>
      <c r="AD44" s="450"/>
      <c r="AF44" s="449"/>
      <c r="AG44" s="263"/>
      <c r="AH44" s="451" t="s">
        <v>10</v>
      </c>
      <c r="AI44" s="451"/>
      <c r="AJ44" s="451"/>
      <c r="AK44" s="451"/>
      <c r="AL44" s="451"/>
      <c r="AM44" s="451"/>
      <c r="AN44" s="451"/>
      <c r="AO44" s="451"/>
      <c r="AP44" s="263"/>
      <c r="AQ44" s="450"/>
      <c r="AS44" s="449"/>
      <c r="AT44" s="263"/>
      <c r="AU44" s="451"/>
      <c r="AV44" s="451"/>
      <c r="AW44" s="451"/>
      <c r="AX44" s="451"/>
      <c r="AY44" s="451"/>
      <c r="AZ44" s="451"/>
      <c r="BA44" s="451"/>
      <c r="BB44" s="451"/>
      <c r="BC44" s="263"/>
      <c r="BD44" s="450"/>
      <c r="BF44" s="449"/>
      <c r="BG44" s="263"/>
      <c r="BH44" s="451"/>
      <c r="BI44" s="451"/>
      <c r="BJ44" s="451"/>
      <c r="BK44" s="451"/>
      <c r="BL44" s="451"/>
      <c r="BM44" s="451"/>
      <c r="BN44" s="451"/>
      <c r="BO44" s="451"/>
      <c r="BP44" s="263"/>
      <c r="BQ44" s="450"/>
    </row>
    <row r="45" spans="1:69" x14ac:dyDescent="0.25">
      <c r="A45" t="s">
        <v>26</v>
      </c>
      <c r="G45" s="448" t="s">
        <v>1251</v>
      </c>
      <c r="H45" s="448"/>
      <c r="I45" s="448"/>
      <c r="J45" s="448"/>
      <c r="K45" s="448"/>
      <c r="L45" s="448"/>
      <c r="M45" s="448"/>
      <c r="N45" s="448"/>
      <c r="O45" s="448"/>
      <c r="P45" s="448"/>
      <c r="T45" s="448" t="s">
        <v>1251</v>
      </c>
      <c r="U45" s="448"/>
      <c r="V45" s="448"/>
      <c r="W45" s="448"/>
      <c r="X45" s="448"/>
      <c r="Y45" s="448"/>
      <c r="Z45" s="448"/>
      <c r="AA45" s="448"/>
      <c r="AB45" s="448"/>
      <c r="AC45" s="448"/>
      <c r="AG45" s="448" t="s">
        <v>1251</v>
      </c>
      <c r="AH45" s="448"/>
      <c r="AI45" s="448"/>
      <c r="AJ45" s="448"/>
      <c r="AK45" s="448"/>
      <c r="AL45" s="448"/>
      <c r="AM45" s="448"/>
      <c r="AN45" s="448"/>
      <c r="AO45" s="448"/>
      <c r="AP45" s="448"/>
      <c r="AT45" s="448" t="s">
        <v>1251</v>
      </c>
      <c r="AU45" s="448"/>
      <c r="AV45" s="448"/>
      <c r="AW45" s="448"/>
      <c r="AX45" s="448"/>
      <c r="AY45" s="448"/>
      <c r="AZ45" s="448"/>
      <c r="BA45" s="448"/>
      <c r="BB45" s="448"/>
      <c r="BC45" s="448"/>
      <c r="BG45" s="448" t="s">
        <v>1251</v>
      </c>
      <c r="BH45" s="448"/>
      <c r="BI45" s="448"/>
      <c r="BJ45" s="448"/>
      <c r="BK45" s="448"/>
      <c r="BL45" s="448"/>
      <c r="BM45" s="448"/>
      <c r="BN45" s="448"/>
      <c r="BO45" s="448"/>
      <c r="BP45" s="448"/>
    </row>
    <row r="46" spans="1:69" hidden="1" x14ac:dyDescent="0.25">
      <c r="A46" t="s">
        <v>27</v>
      </c>
    </row>
    <row r="47" spans="1:69" hidden="1" x14ac:dyDescent="0.25">
      <c r="A47" t="s">
        <v>376</v>
      </c>
      <c r="G47" s="448" t="s">
        <v>1251</v>
      </c>
      <c r="H47" s="448"/>
      <c r="I47" s="448"/>
      <c r="J47" s="448"/>
      <c r="K47" s="448"/>
      <c r="L47" s="448"/>
      <c r="M47" s="448"/>
      <c r="N47" s="448"/>
      <c r="O47" s="448"/>
      <c r="P47" s="448"/>
      <c r="T47" s="448" t="s">
        <v>1251</v>
      </c>
      <c r="U47" s="448"/>
      <c r="V47" s="448"/>
      <c r="W47" s="448"/>
      <c r="X47" s="448"/>
      <c r="Y47" s="448"/>
      <c r="Z47" s="448"/>
      <c r="AA47" s="448"/>
      <c r="AB47" s="448"/>
      <c r="AC47" s="448"/>
      <c r="AG47" s="448" t="s">
        <v>1251</v>
      </c>
      <c r="AH47" s="448"/>
      <c r="AI47" s="448"/>
      <c r="AJ47" s="448"/>
      <c r="AK47" s="448"/>
      <c r="AL47" s="448"/>
      <c r="AM47" s="448"/>
      <c r="AN47" s="448"/>
      <c r="AO47" s="448"/>
      <c r="AP47" s="448"/>
      <c r="AT47" s="448" t="s">
        <v>1251</v>
      </c>
      <c r="AU47" s="448"/>
      <c r="AV47" s="448"/>
      <c r="AW47" s="448"/>
      <c r="AX47" s="448"/>
      <c r="AY47" s="448"/>
      <c r="AZ47" s="448"/>
      <c r="BA47" s="448"/>
      <c r="BB47" s="448"/>
      <c r="BC47" s="448"/>
      <c r="BG47" s="448" t="s">
        <v>1251</v>
      </c>
      <c r="BH47" s="448"/>
      <c r="BI47" s="448"/>
      <c r="BJ47" s="448"/>
      <c r="BK47" s="448"/>
      <c r="BL47" s="448"/>
      <c r="BM47" s="448"/>
      <c r="BN47" s="448"/>
      <c r="BO47" s="448"/>
      <c r="BP47" s="448"/>
    </row>
    <row r="48" spans="1:69" hidden="1" x14ac:dyDescent="0.25">
      <c r="A48" t="s">
        <v>28</v>
      </c>
      <c r="F48" s="449" t="s">
        <v>1251</v>
      </c>
      <c r="G48" s="263"/>
      <c r="H48" s="451"/>
      <c r="I48" s="451"/>
      <c r="J48" s="451"/>
      <c r="K48" s="451"/>
      <c r="L48" s="451"/>
      <c r="M48" s="451"/>
      <c r="N48" s="451"/>
      <c r="O48" s="451"/>
      <c r="P48" s="263"/>
      <c r="Q48" s="450" t="s">
        <v>1251</v>
      </c>
      <c r="S48" s="449" t="s">
        <v>1251</v>
      </c>
      <c r="T48" s="263"/>
      <c r="U48" s="451"/>
      <c r="V48" s="451"/>
      <c r="W48" s="451"/>
      <c r="X48" s="451"/>
      <c r="Y48" s="451"/>
      <c r="Z48" s="451"/>
      <c r="AA48" s="451"/>
      <c r="AB48" s="451"/>
      <c r="AC48" s="263"/>
      <c r="AD48" s="450" t="s">
        <v>1251</v>
      </c>
      <c r="AF48" s="449" t="s">
        <v>1251</v>
      </c>
      <c r="AG48" s="263"/>
      <c r="AH48" s="451"/>
      <c r="AI48" s="451"/>
      <c r="AJ48" s="451"/>
      <c r="AK48" s="451"/>
      <c r="AL48" s="451"/>
      <c r="AM48" s="451"/>
      <c r="AN48" s="451"/>
      <c r="AO48" s="451"/>
      <c r="AP48" s="263"/>
      <c r="AQ48" s="450" t="s">
        <v>1251</v>
      </c>
      <c r="AS48" s="449" t="s">
        <v>1251</v>
      </c>
      <c r="AT48" s="263"/>
      <c r="AU48" s="451"/>
      <c r="AV48" s="451"/>
      <c r="AW48" s="451"/>
      <c r="AX48" s="451"/>
      <c r="AY48" s="451"/>
      <c r="AZ48" s="451"/>
      <c r="BA48" s="451"/>
      <c r="BB48" s="451"/>
      <c r="BC48" s="263"/>
      <c r="BD48" s="450" t="s">
        <v>1251</v>
      </c>
      <c r="BF48" s="449" t="s">
        <v>1251</v>
      </c>
      <c r="BG48" s="263"/>
      <c r="BH48" s="451"/>
      <c r="BI48" s="451"/>
      <c r="BJ48" s="451"/>
      <c r="BK48" s="451"/>
      <c r="BL48" s="451"/>
      <c r="BM48" s="451"/>
      <c r="BN48" s="451"/>
      <c r="BO48" s="451"/>
      <c r="BP48" s="263"/>
      <c r="BQ48" s="450" t="s">
        <v>1251</v>
      </c>
    </row>
    <row r="49" spans="1:69" ht="56.85" hidden="1" customHeight="1" x14ac:dyDescent="0.25">
      <c r="A49" t="s">
        <v>1248</v>
      </c>
      <c r="F49" s="449"/>
      <c r="G49" s="452"/>
      <c r="H49" s="265"/>
      <c r="I49" s="266"/>
      <c r="J49" s="269"/>
      <c r="K49" s="265"/>
      <c r="L49" s="266"/>
      <c r="M49" s="269"/>
      <c r="N49" s="265"/>
      <c r="O49" s="266"/>
      <c r="P49" s="453"/>
      <c r="Q49" s="450"/>
      <c r="S49" s="449"/>
      <c r="T49" s="452"/>
      <c r="U49" s="265"/>
      <c r="V49" s="266"/>
      <c r="W49" s="269"/>
      <c r="X49" s="265"/>
      <c r="Y49" s="266"/>
      <c r="Z49" s="269"/>
      <c r="AA49" s="265"/>
      <c r="AB49" s="266"/>
      <c r="AC49" s="453"/>
      <c r="AD49" s="450"/>
      <c r="AF49" s="449"/>
      <c r="AG49" s="452"/>
      <c r="AH49" s="265"/>
      <c r="AI49" s="266"/>
      <c r="AJ49" s="269"/>
      <c r="AK49" s="265"/>
      <c r="AL49" s="266"/>
      <c r="AM49" s="269"/>
      <c r="AN49" s="265"/>
      <c r="AO49" s="266"/>
      <c r="AP49" s="453"/>
      <c r="AQ49" s="450"/>
      <c r="AS49" s="449"/>
      <c r="AT49" s="452"/>
      <c r="AU49" s="265"/>
      <c r="AV49" s="266"/>
      <c r="AW49" s="269"/>
      <c r="AX49" s="265"/>
      <c r="AY49" s="266"/>
      <c r="AZ49" s="269"/>
      <c r="BA49" s="265"/>
      <c r="BB49" s="266"/>
      <c r="BC49" s="453"/>
      <c r="BD49" s="450"/>
      <c r="BF49" s="449"/>
      <c r="BG49" s="452"/>
      <c r="BH49" s="265"/>
      <c r="BI49" s="266"/>
      <c r="BJ49" s="269"/>
      <c r="BK49" s="265"/>
      <c r="BL49" s="266"/>
      <c r="BM49" s="269"/>
      <c r="BN49" s="265"/>
      <c r="BO49" s="266"/>
      <c r="BP49" s="453"/>
      <c r="BQ49" s="450"/>
    </row>
    <row r="50" spans="1:69" ht="56.85" hidden="1" customHeight="1" x14ac:dyDescent="0.25">
      <c r="A50" t="s">
        <v>29</v>
      </c>
      <c r="F50" s="449"/>
      <c r="G50" s="452"/>
      <c r="H50" s="267"/>
      <c r="I50" s="268"/>
      <c r="J50" s="269"/>
      <c r="K50" s="267"/>
      <c r="L50" s="268"/>
      <c r="M50" s="269"/>
      <c r="N50" s="267"/>
      <c r="O50" s="268"/>
      <c r="P50" s="453"/>
      <c r="Q50" s="450"/>
      <c r="S50" s="449"/>
      <c r="T50" s="452"/>
      <c r="U50" s="267"/>
      <c r="V50" s="268"/>
      <c r="W50" s="269"/>
      <c r="X50" s="267"/>
      <c r="Y50" s="268"/>
      <c r="Z50" s="269"/>
      <c r="AA50" s="267"/>
      <c r="AB50" s="268"/>
      <c r="AC50" s="453"/>
      <c r="AD50" s="450"/>
      <c r="AF50" s="449"/>
      <c r="AG50" s="452"/>
      <c r="AH50" s="267"/>
      <c r="AI50" s="268"/>
      <c r="AJ50" s="269"/>
      <c r="AK50" s="267"/>
      <c r="AL50" s="268"/>
      <c r="AM50" s="269"/>
      <c r="AN50" s="267"/>
      <c r="AO50" s="268"/>
      <c r="AP50" s="453"/>
      <c r="AQ50" s="450"/>
      <c r="AS50" s="449"/>
      <c r="AT50" s="452"/>
      <c r="AU50" s="267"/>
      <c r="AV50" s="268"/>
      <c r="AW50" s="269"/>
      <c r="AX50" s="267"/>
      <c r="AY50" s="268"/>
      <c r="AZ50" s="269"/>
      <c r="BA50" s="267"/>
      <c r="BB50" s="268"/>
      <c r="BC50" s="453"/>
      <c r="BD50" s="450"/>
      <c r="BF50" s="449"/>
      <c r="BG50" s="452"/>
      <c r="BH50" s="267"/>
      <c r="BI50" s="268"/>
      <c r="BJ50" s="269"/>
      <c r="BK50" s="267"/>
      <c r="BL50" s="268"/>
      <c r="BM50" s="269"/>
      <c r="BN50" s="267"/>
      <c r="BO50" s="268"/>
      <c r="BP50" s="453"/>
      <c r="BQ50" s="450"/>
    </row>
    <row r="51" spans="1:69" hidden="1" x14ac:dyDescent="0.25">
      <c r="A51" t="s">
        <v>30</v>
      </c>
      <c r="F51" s="449"/>
      <c r="G51" s="452"/>
      <c r="H51" s="269"/>
      <c r="I51" s="269"/>
      <c r="J51" s="269"/>
      <c r="K51" s="269"/>
      <c r="L51" s="269"/>
      <c r="M51" s="269"/>
      <c r="N51" s="269"/>
      <c r="O51" s="269"/>
      <c r="P51" s="453"/>
      <c r="Q51" s="450"/>
      <c r="S51" s="449"/>
      <c r="T51" s="452"/>
      <c r="U51" s="269"/>
      <c r="V51" s="269"/>
      <c r="W51" s="269"/>
      <c r="X51" s="269"/>
      <c r="Y51" s="269"/>
      <c r="Z51" s="269"/>
      <c r="AA51" s="269"/>
      <c r="AB51" s="269"/>
      <c r="AC51" s="453"/>
      <c r="AD51" s="450"/>
      <c r="AF51" s="449"/>
      <c r="AG51" s="452"/>
      <c r="AH51" s="269"/>
      <c r="AI51" s="269"/>
      <c r="AJ51" s="269"/>
      <c r="AK51" s="269"/>
      <c r="AL51" s="269"/>
      <c r="AM51" s="269"/>
      <c r="AN51" s="269"/>
      <c r="AO51" s="269"/>
      <c r="AP51" s="453"/>
      <c r="AQ51" s="450"/>
      <c r="AS51" s="449"/>
      <c r="AT51" s="452"/>
      <c r="AU51" s="269"/>
      <c r="AV51" s="269"/>
      <c r="AW51" s="269"/>
      <c r="AX51" s="269"/>
      <c r="AY51" s="269"/>
      <c r="AZ51" s="269"/>
      <c r="BA51" s="269"/>
      <c r="BB51" s="269"/>
      <c r="BC51" s="453"/>
      <c r="BD51" s="450"/>
      <c r="BF51" s="449"/>
      <c r="BG51" s="452"/>
      <c r="BH51" s="269"/>
      <c r="BI51" s="269"/>
      <c r="BJ51" s="269"/>
      <c r="BK51" s="269"/>
      <c r="BL51" s="269"/>
      <c r="BM51" s="269"/>
      <c r="BN51" s="269"/>
      <c r="BO51" s="269"/>
      <c r="BP51" s="453"/>
      <c r="BQ51" s="450"/>
    </row>
    <row r="52" spans="1:69" ht="56.85" hidden="1" customHeight="1" x14ac:dyDescent="0.25">
      <c r="A52" t="s">
        <v>31</v>
      </c>
      <c r="F52" s="449"/>
      <c r="G52" s="452"/>
      <c r="H52" s="265"/>
      <c r="I52" s="266"/>
      <c r="J52" s="269"/>
      <c r="K52" s="265"/>
      <c r="L52" s="266"/>
      <c r="M52" s="269"/>
      <c r="N52" s="265"/>
      <c r="O52" s="266"/>
      <c r="P52" s="453"/>
      <c r="Q52" s="450"/>
      <c r="S52" s="449"/>
      <c r="T52" s="452"/>
      <c r="U52" s="265"/>
      <c r="V52" s="266"/>
      <c r="W52" s="269"/>
      <c r="X52" s="265"/>
      <c r="Y52" s="266"/>
      <c r="Z52" s="269"/>
      <c r="AA52" s="265"/>
      <c r="AB52" s="266"/>
      <c r="AC52" s="453"/>
      <c r="AD52" s="450"/>
      <c r="AF52" s="449"/>
      <c r="AG52" s="452"/>
      <c r="AH52" s="265"/>
      <c r="AI52" s="266"/>
      <c r="AJ52" s="269"/>
      <c r="AK52" s="265"/>
      <c r="AL52" s="266"/>
      <c r="AM52" s="269"/>
      <c r="AN52" s="265"/>
      <c r="AO52" s="266"/>
      <c r="AP52" s="453"/>
      <c r="AQ52" s="450"/>
      <c r="AS52" s="449"/>
      <c r="AT52" s="452"/>
      <c r="AU52" s="265"/>
      <c r="AV52" s="266"/>
      <c r="AW52" s="269"/>
      <c r="AX52" s="265"/>
      <c r="AY52" s="266"/>
      <c r="AZ52" s="269"/>
      <c r="BA52" s="265"/>
      <c r="BB52" s="266"/>
      <c r="BC52" s="453"/>
      <c r="BD52" s="450"/>
      <c r="BF52" s="449"/>
      <c r="BG52" s="452"/>
      <c r="BH52" s="265"/>
      <c r="BI52" s="266"/>
      <c r="BJ52" s="269"/>
      <c r="BK52" s="265"/>
      <c r="BL52" s="266"/>
      <c r="BM52" s="269"/>
      <c r="BN52" s="265"/>
      <c r="BO52" s="266"/>
      <c r="BP52" s="453"/>
      <c r="BQ52" s="450"/>
    </row>
    <row r="53" spans="1:69" ht="56.85" hidden="1" customHeight="1" x14ac:dyDescent="0.25">
      <c r="A53" t="s">
        <v>32</v>
      </c>
      <c r="F53" s="449"/>
      <c r="G53" s="452"/>
      <c r="H53" s="267"/>
      <c r="I53" s="268"/>
      <c r="J53" s="269"/>
      <c r="K53" s="267"/>
      <c r="L53" s="268"/>
      <c r="M53" s="269"/>
      <c r="N53" s="267"/>
      <c r="O53" s="268"/>
      <c r="P53" s="453"/>
      <c r="Q53" s="450"/>
      <c r="S53" s="449"/>
      <c r="T53" s="452"/>
      <c r="U53" s="267"/>
      <c r="V53" s="268"/>
      <c r="W53" s="269"/>
      <c r="X53" s="267"/>
      <c r="Y53" s="268"/>
      <c r="Z53" s="269"/>
      <c r="AA53" s="267"/>
      <c r="AB53" s="268"/>
      <c r="AC53" s="453"/>
      <c r="AD53" s="450"/>
      <c r="AF53" s="449"/>
      <c r="AG53" s="452"/>
      <c r="AH53" s="267"/>
      <c r="AI53" s="268"/>
      <c r="AJ53" s="269"/>
      <c r="AK53" s="267"/>
      <c r="AL53" s="268"/>
      <c r="AM53" s="269"/>
      <c r="AN53" s="267"/>
      <c r="AO53" s="268"/>
      <c r="AP53" s="453"/>
      <c r="AQ53" s="450"/>
      <c r="AS53" s="449"/>
      <c r="AT53" s="452"/>
      <c r="AU53" s="267"/>
      <c r="AV53" s="268"/>
      <c r="AW53" s="269"/>
      <c r="AX53" s="267"/>
      <c r="AY53" s="268"/>
      <c r="AZ53" s="269"/>
      <c r="BA53" s="267"/>
      <c r="BB53" s="268"/>
      <c r="BC53" s="453"/>
      <c r="BD53" s="450"/>
      <c r="BF53" s="449"/>
      <c r="BG53" s="452"/>
      <c r="BH53" s="267"/>
      <c r="BI53" s="268"/>
      <c r="BJ53" s="269"/>
      <c r="BK53" s="267"/>
      <c r="BL53" s="268"/>
      <c r="BM53" s="269"/>
      <c r="BN53" s="267"/>
      <c r="BO53" s="268"/>
      <c r="BP53" s="453"/>
      <c r="BQ53" s="450"/>
    </row>
    <row r="54" spans="1:69" hidden="1" x14ac:dyDescent="0.25">
      <c r="A54" t="s">
        <v>33</v>
      </c>
      <c r="F54" s="449"/>
      <c r="G54" s="452"/>
      <c r="H54" s="269"/>
      <c r="I54" s="269"/>
      <c r="J54" s="269"/>
      <c r="K54" s="269"/>
      <c r="L54" s="269"/>
      <c r="M54" s="269"/>
      <c r="N54" s="269"/>
      <c r="O54" s="269"/>
      <c r="P54" s="453"/>
      <c r="Q54" s="450"/>
      <c r="S54" s="449"/>
      <c r="T54" s="452"/>
      <c r="U54" s="269"/>
      <c r="V54" s="269"/>
      <c r="W54" s="269"/>
      <c r="X54" s="269"/>
      <c r="Y54" s="269"/>
      <c r="Z54" s="269"/>
      <c r="AA54" s="269"/>
      <c r="AB54" s="269"/>
      <c r="AC54" s="453"/>
      <c r="AD54" s="450"/>
      <c r="AF54" s="449"/>
      <c r="AG54" s="452"/>
      <c r="AH54" s="269"/>
      <c r="AI54" s="269"/>
      <c r="AJ54" s="269"/>
      <c r="AK54" s="269"/>
      <c r="AL54" s="269"/>
      <c r="AM54" s="269"/>
      <c r="AN54" s="269"/>
      <c r="AO54" s="269"/>
      <c r="AP54" s="453"/>
      <c r="AQ54" s="450"/>
      <c r="AS54" s="449"/>
      <c r="AT54" s="452"/>
      <c r="AU54" s="269"/>
      <c r="AV54" s="269"/>
      <c r="AW54" s="269"/>
      <c r="AX54" s="269"/>
      <c r="AY54" s="269"/>
      <c r="AZ54" s="269"/>
      <c r="BA54" s="269"/>
      <c r="BB54" s="269"/>
      <c r="BC54" s="453"/>
      <c r="BD54" s="450"/>
      <c r="BF54" s="449"/>
      <c r="BG54" s="452"/>
      <c r="BH54" s="269"/>
      <c r="BI54" s="269"/>
      <c r="BJ54" s="269"/>
      <c r="BK54" s="269"/>
      <c r="BL54" s="269"/>
      <c r="BM54" s="269"/>
      <c r="BN54" s="269"/>
      <c r="BO54" s="269"/>
      <c r="BP54" s="453"/>
      <c r="BQ54" s="450"/>
    </row>
    <row r="55" spans="1:69" ht="56.85" hidden="1" customHeight="1" x14ac:dyDescent="0.25">
      <c r="A55" t="s">
        <v>34</v>
      </c>
      <c r="F55" s="449"/>
      <c r="G55" s="452"/>
      <c r="H55" s="265"/>
      <c r="I55" s="266"/>
      <c r="J55" s="269"/>
      <c r="K55" s="265"/>
      <c r="L55" s="266"/>
      <c r="M55" s="269"/>
      <c r="N55" s="265"/>
      <c r="O55" s="266"/>
      <c r="P55" s="453"/>
      <c r="Q55" s="450"/>
      <c r="S55" s="449"/>
      <c r="T55" s="452"/>
      <c r="U55" s="265"/>
      <c r="V55" s="266"/>
      <c r="W55" s="269"/>
      <c r="X55" s="265"/>
      <c r="Y55" s="266"/>
      <c r="Z55" s="269"/>
      <c r="AA55" s="265"/>
      <c r="AB55" s="266"/>
      <c r="AC55" s="453"/>
      <c r="AD55" s="450"/>
      <c r="AF55" s="449"/>
      <c r="AG55" s="452"/>
      <c r="AH55" s="265"/>
      <c r="AI55" s="266"/>
      <c r="AJ55" s="269"/>
      <c r="AK55" s="265"/>
      <c r="AL55" s="266"/>
      <c r="AM55" s="269"/>
      <c r="AN55" s="265"/>
      <c r="AO55" s="266"/>
      <c r="AP55" s="453"/>
      <c r="AQ55" s="450"/>
      <c r="AS55" s="449"/>
      <c r="AT55" s="452"/>
      <c r="AU55" s="265"/>
      <c r="AV55" s="266"/>
      <c r="AW55" s="269"/>
      <c r="AX55" s="265"/>
      <c r="AY55" s="266"/>
      <c r="AZ55" s="269"/>
      <c r="BA55" s="265"/>
      <c r="BB55" s="266"/>
      <c r="BC55" s="453"/>
      <c r="BD55" s="450"/>
      <c r="BF55" s="449"/>
      <c r="BG55" s="452"/>
      <c r="BH55" s="265"/>
      <c r="BI55" s="266"/>
      <c r="BJ55" s="269"/>
      <c r="BK55" s="265"/>
      <c r="BL55" s="266"/>
      <c r="BM55" s="269"/>
      <c r="BN55" s="265"/>
      <c r="BO55" s="266"/>
      <c r="BP55" s="453"/>
      <c r="BQ55" s="450"/>
    </row>
    <row r="56" spans="1:69" ht="56.85" hidden="1" customHeight="1" x14ac:dyDescent="0.25">
      <c r="A56" t="s">
        <v>35</v>
      </c>
      <c r="F56" s="449"/>
      <c r="G56" s="452"/>
      <c r="H56" s="267"/>
      <c r="I56" s="268"/>
      <c r="J56" s="269"/>
      <c r="K56" s="267"/>
      <c r="L56" s="268"/>
      <c r="M56" s="269"/>
      <c r="N56" s="267"/>
      <c r="O56" s="268"/>
      <c r="P56" s="453"/>
      <c r="Q56" s="450"/>
      <c r="S56" s="449"/>
      <c r="T56" s="452"/>
      <c r="U56" s="267"/>
      <c r="V56" s="268"/>
      <c r="W56" s="269"/>
      <c r="X56" s="267"/>
      <c r="Y56" s="268"/>
      <c r="Z56" s="269"/>
      <c r="AA56" s="267"/>
      <c r="AB56" s="268"/>
      <c r="AC56" s="453"/>
      <c r="AD56" s="450"/>
      <c r="AF56" s="449"/>
      <c r="AG56" s="452"/>
      <c r="AH56" s="267"/>
      <c r="AI56" s="268"/>
      <c r="AJ56" s="269"/>
      <c r="AK56" s="267"/>
      <c r="AL56" s="268"/>
      <c r="AM56" s="269"/>
      <c r="AN56" s="267"/>
      <c r="AO56" s="268"/>
      <c r="AP56" s="453"/>
      <c r="AQ56" s="450"/>
      <c r="AS56" s="449"/>
      <c r="AT56" s="452"/>
      <c r="AU56" s="267"/>
      <c r="AV56" s="268"/>
      <c r="AW56" s="269"/>
      <c r="AX56" s="267"/>
      <c r="AY56" s="268"/>
      <c r="AZ56" s="269"/>
      <c r="BA56" s="267"/>
      <c r="BB56" s="268"/>
      <c r="BC56" s="453"/>
      <c r="BD56" s="450"/>
      <c r="BF56" s="449"/>
      <c r="BG56" s="452"/>
      <c r="BH56" s="267"/>
      <c r="BI56" s="268"/>
      <c r="BJ56" s="269"/>
      <c r="BK56" s="267"/>
      <c r="BL56" s="268"/>
      <c r="BM56" s="269"/>
      <c r="BN56" s="267"/>
      <c r="BO56" s="268"/>
      <c r="BP56" s="453"/>
      <c r="BQ56" s="450"/>
    </row>
    <row r="57" spans="1:69" hidden="1" x14ac:dyDescent="0.25">
      <c r="A57" t="s">
        <v>36</v>
      </c>
      <c r="F57" s="449"/>
      <c r="G57" s="263"/>
      <c r="H57" s="451"/>
      <c r="I57" s="451"/>
      <c r="J57" s="451"/>
      <c r="K57" s="451"/>
      <c r="L57" s="451"/>
      <c r="M57" s="451"/>
      <c r="N57" s="451"/>
      <c r="O57" s="451"/>
      <c r="P57" s="263"/>
      <c r="Q57" s="450"/>
      <c r="S57" s="449"/>
      <c r="T57" s="263"/>
      <c r="U57" s="451"/>
      <c r="V57" s="451"/>
      <c r="W57" s="451"/>
      <c r="X57" s="451"/>
      <c r="Y57" s="451"/>
      <c r="Z57" s="451"/>
      <c r="AA57" s="451"/>
      <c r="AB57" s="451"/>
      <c r="AC57" s="263"/>
      <c r="AD57" s="450"/>
      <c r="AF57" s="449"/>
      <c r="AG57" s="263"/>
      <c r="AH57" s="451"/>
      <c r="AI57" s="451"/>
      <c r="AJ57" s="451"/>
      <c r="AK57" s="451"/>
      <c r="AL57" s="451"/>
      <c r="AM57" s="451"/>
      <c r="AN57" s="451"/>
      <c r="AO57" s="451"/>
      <c r="AP57" s="263"/>
      <c r="AQ57" s="450"/>
      <c r="AS57" s="449"/>
      <c r="AT57" s="263"/>
      <c r="AU57" s="451"/>
      <c r="AV57" s="451"/>
      <c r="AW57" s="451"/>
      <c r="AX57" s="451"/>
      <c r="AY57" s="451"/>
      <c r="AZ57" s="451"/>
      <c r="BA57" s="451"/>
      <c r="BB57" s="451"/>
      <c r="BC57" s="263"/>
      <c r="BD57" s="450"/>
      <c r="BF57" s="449"/>
      <c r="BG57" s="263"/>
      <c r="BH57" s="451"/>
      <c r="BI57" s="451"/>
      <c r="BJ57" s="451"/>
      <c r="BK57" s="451"/>
      <c r="BL57" s="451"/>
      <c r="BM57" s="451"/>
      <c r="BN57" s="451"/>
      <c r="BO57" s="451"/>
      <c r="BP57" s="263"/>
      <c r="BQ57" s="450"/>
    </row>
    <row r="58" spans="1:69" hidden="1" x14ac:dyDescent="0.25">
      <c r="A58" t="s">
        <v>37</v>
      </c>
      <c r="G58" s="448" t="s">
        <v>1251</v>
      </c>
      <c r="H58" s="448"/>
      <c r="I58" s="448"/>
      <c r="J58" s="448"/>
      <c r="K58" s="448"/>
      <c r="L58" s="448"/>
      <c r="M58" s="448"/>
      <c r="N58" s="448"/>
      <c r="O58" s="448"/>
      <c r="P58" s="448"/>
      <c r="T58" s="448" t="s">
        <v>1251</v>
      </c>
      <c r="U58" s="448"/>
      <c r="V58" s="448"/>
      <c r="W58" s="448"/>
      <c r="X58" s="448"/>
      <c r="Y58" s="448"/>
      <c r="Z58" s="448"/>
      <c r="AA58" s="448"/>
      <c r="AB58" s="448"/>
      <c r="AC58" s="448"/>
      <c r="AG58" s="448" t="s">
        <v>1251</v>
      </c>
      <c r="AH58" s="448"/>
      <c r="AI58" s="448"/>
      <c r="AJ58" s="448"/>
      <c r="AK58" s="448"/>
      <c r="AL58" s="448"/>
      <c r="AM58" s="448"/>
      <c r="AN58" s="448"/>
      <c r="AO58" s="448"/>
      <c r="AP58" s="448"/>
      <c r="AT58" s="448" t="s">
        <v>1251</v>
      </c>
      <c r="AU58" s="448"/>
      <c r="AV58" s="448"/>
      <c r="AW58" s="448"/>
      <c r="AX58" s="448"/>
      <c r="AY58" s="448"/>
      <c r="AZ58" s="448"/>
      <c r="BA58" s="448"/>
      <c r="BB58" s="448"/>
      <c r="BC58" s="448"/>
      <c r="BG58" s="448" t="s">
        <v>1251</v>
      </c>
      <c r="BH58" s="448"/>
      <c r="BI58" s="448"/>
      <c r="BJ58" s="448"/>
      <c r="BK58" s="448"/>
      <c r="BL58" s="448"/>
      <c r="BM58" s="448"/>
      <c r="BN58" s="448"/>
      <c r="BO58" s="448"/>
      <c r="BP58" s="448"/>
    </row>
    <row r="59" spans="1:69" hidden="1" x14ac:dyDescent="0.25">
      <c r="A59" t="s">
        <v>38</v>
      </c>
    </row>
    <row r="60" spans="1:69" hidden="1" x14ac:dyDescent="0.25">
      <c r="A60" t="s">
        <v>39</v>
      </c>
      <c r="G60" s="448" t="s">
        <v>1251</v>
      </c>
      <c r="H60" s="448"/>
      <c r="I60" s="448"/>
      <c r="J60" s="448"/>
      <c r="K60" s="448"/>
      <c r="L60" s="448"/>
      <c r="M60" s="448"/>
      <c r="N60" s="448"/>
      <c r="O60" s="448"/>
      <c r="P60" s="448"/>
      <c r="T60" s="448" t="s">
        <v>1251</v>
      </c>
      <c r="U60" s="448"/>
      <c r="V60" s="448"/>
      <c r="W60" s="448"/>
      <c r="X60" s="448"/>
      <c r="Y60" s="448"/>
      <c r="Z60" s="448"/>
      <c r="AA60" s="448"/>
      <c r="AB60" s="448"/>
      <c r="AC60" s="448"/>
      <c r="AG60" s="448" t="s">
        <v>1251</v>
      </c>
      <c r="AH60" s="448"/>
      <c r="AI60" s="448"/>
      <c r="AJ60" s="448"/>
      <c r="AK60" s="448"/>
      <c r="AL60" s="448"/>
      <c r="AM60" s="448"/>
      <c r="AN60" s="448"/>
      <c r="AO60" s="448"/>
      <c r="AP60" s="448"/>
      <c r="AT60" s="448" t="s">
        <v>1251</v>
      </c>
      <c r="AU60" s="448"/>
      <c r="AV60" s="448"/>
      <c r="AW60" s="448"/>
      <c r="AX60" s="448"/>
      <c r="AY60" s="448"/>
      <c r="AZ60" s="448"/>
      <c r="BA60" s="448"/>
      <c r="BB60" s="448"/>
      <c r="BC60" s="448"/>
      <c r="BG60" s="448" t="s">
        <v>1251</v>
      </c>
      <c r="BH60" s="448"/>
      <c r="BI60" s="448"/>
      <c r="BJ60" s="448"/>
      <c r="BK60" s="448"/>
      <c r="BL60" s="448"/>
      <c r="BM60" s="448"/>
      <c r="BN60" s="448"/>
      <c r="BO60" s="448"/>
      <c r="BP60" s="448"/>
    </row>
    <row r="61" spans="1:69" hidden="1" x14ac:dyDescent="0.25">
      <c r="A61" t="s">
        <v>40</v>
      </c>
      <c r="F61" s="449" t="s">
        <v>1251</v>
      </c>
      <c r="G61" s="263"/>
      <c r="H61" s="451"/>
      <c r="I61" s="451"/>
      <c r="J61" s="451"/>
      <c r="K61" s="451"/>
      <c r="L61" s="451"/>
      <c r="M61" s="451"/>
      <c r="N61" s="451"/>
      <c r="O61" s="451"/>
      <c r="P61" s="263"/>
      <c r="Q61" s="450" t="s">
        <v>1251</v>
      </c>
      <c r="S61" s="449" t="s">
        <v>1251</v>
      </c>
      <c r="T61" s="263"/>
      <c r="U61" s="451"/>
      <c r="V61" s="451"/>
      <c r="W61" s="451"/>
      <c r="X61" s="451"/>
      <c r="Y61" s="451"/>
      <c r="Z61" s="451"/>
      <c r="AA61" s="451"/>
      <c r="AB61" s="451"/>
      <c r="AC61" s="263"/>
      <c r="AD61" s="450" t="s">
        <v>1251</v>
      </c>
      <c r="AF61" s="449" t="s">
        <v>1251</v>
      </c>
      <c r="AG61" s="263"/>
      <c r="AH61" s="451"/>
      <c r="AI61" s="451"/>
      <c r="AJ61" s="451"/>
      <c r="AK61" s="451"/>
      <c r="AL61" s="451"/>
      <c r="AM61" s="451"/>
      <c r="AN61" s="451"/>
      <c r="AO61" s="451"/>
      <c r="AP61" s="263"/>
      <c r="AQ61" s="450" t="s">
        <v>1251</v>
      </c>
      <c r="AS61" s="449" t="s">
        <v>1251</v>
      </c>
      <c r="AT61" s="263"/>
      <c r="AU61" s="451"/>
      <c r="AV61" s="451"/>
      <c r="AW61" s="451"/>
      <c r="AX61" s="451"/>
      <c r="AY61" s="451"/>
      <c r="AZ61" s="451"/>
      <c r="BA61" s="451"/>
      <c r="BB61" s="451"/>
      <c r="BC61" s="263"/>
      <c r="BD61" s="450" t="s">
        <v>1251</v>
      </c>
      <c r="BF61" s="449" t="s">
        <v>1251</v>
      </c>
      <c r="BG61" s="263"/>
      <c r="BH61" s="451"/>
      <c r="BI61" s="451"/>
      <c r="BJ61" s="451"/>
      <c r="BK61" s="451"/>
      <c r="BL61" s="451"/>
      <c r="BM61" s="451"/>
      <c r="BN61" s="451"/>
      <c r="BO61" s="451"/>
      <c r="BP61" s="263"/>
      <c r="BQ61" s="450" t="s">
        <v>1251</v>
      </c>
    </row>
    <row r="62" spans="1:69" ht="56.85" hidden="1" customHeight="1" x14ac:dyDescent="0.25">
      <c r="A62" t="s">
        <v>41</v>
      </c>
      <c r="F62" s="449"/>
      <c r="G62" s="452"/>
      <c r="H62" s="265"/>
      <c r="I62" s="266"/>
      <c r="J62" s="269"/>
      <c r="K62" s="265"/>
      <c r="L62" s="266"/>
      <c r="M62" s="269"/>
      <c r="N62" s="265"/>
      <c r="O62" s="266"/>
      <c r="P62" s="453"/>
      <c r="Q62" s="450"/>
      <c r="S62" s="449"/>
      <c r="T62" s="452"/>
      <c r="U62" s="265"/>
      <c r="V62" s="266"/>
      <c r="W62" s="269"/>
      <c r="X62" s="265"/>
      <c r="Y62" s="266"/>
      <c r="Z62" s="269"/>
      <c r="AA62" s="265"/>
      <c r="AB62" s="266"/>
      <c r="AC62" s="453"/>
      <c r="AD62" s="450"/>
      <c r="AF62" s="449"/>
      <c r="AG62" s="452"/>
      <c r="AH62" s="265"/>
      <c r="AI62" s="266"/>
      <c r="AJ62" s="269"/>
      <c r="AK62" s="265"/>
      <c r="AL62" s="266"/>
      <c r="AM62" s="269"/>
      <c r="AN62" s="265"/>
      <c r="AO62" s="266"/>
      <c r="AP62" s="453"/>
      <c r="AQ62" s="450"/>
      <c r="AS62" s="449"/>
      <c r="AT62" s="452"/>
      <c r="AU62" s="265"/>
      <c r="AV62" s="266"/>
      <c r="AW62" s="269"/>
      <c r="AX62" s="265"/>
      <c r="AY62" s="266"/>
      <c r="AZ62" s="269"/>
      <c r="BA62" s="265"/>
      <c r="BB62" s="266"/>
      <c r="BC62" s="453"/>
      <c r="BD62" s="450"/>
      <c r="BF62" s="449"/>
      <c r="BG62" s="452"/>
      <c r="BH62" s="265"/>
      <c r="BI62" s="266"/>
      <c r="BJ62" s="269"/>
      <c r="BK62" s="265"/>
      <c r="BL62" s="266"/>
      <c r="BM62" s="269"/>
      <c r="BN62" s="265"/>
      <c r="BO62" s="266"/>
      <c r="BP62" s="453"/>
      <c r="BQ62" s="450"/>
    </row>
    <row r="63" spans="1:69" ht="56.85" hidden="1" customHeight="1" x14ac:dyDescent="0.25">
      <c r="A63" t="s">
        <v>42</v>
      </c>
      <c r="F63" s="449"/>
      <c r="G63" s="452"/>
      <c r="H63" s="267"/>
      <c r="I63" s="268"/>
      <c r="J63" s="269"/>
      <c r="K63" s="267"/>
      <c r="L63" s="268"/>
      <c r="M63" s="269"/>
      <c r="N63" s="267"/>
      <c r="O63" s="268"/>
      <c r="P63" s="453"/>
      <c r="Q63" s="450"/>
      <c r="S63" s="449"/>
      <c r="T63" s="452"/>
      <c r="U63" s="267"/>
      <c r="V63" s="268"/>
      <c r="W63" s="269"/>
      <c r="X63" s="267"/>
      <c r="Y63" s="268"/>
      <c r="Z63" s="269"/>
      <c r="AA63" s="267"/>
      <c r="AB63" s="268"/>
      <c r="AC63" s="453"/>
      <c r="AD63" s="450"/>
      <c r="AF63" s="449"/>
      <c r="AG63" s="452"/>
      <c r="AH63" s="267"/>
      <c r="AI63" s="268"/>
      <c r="AJ63" s="269"/>
      <c r="AK63" s="267"/>
      <c r="AL63" s="268"/>
      <c r="AM63" s="269"/>
      <c r="AN63" s="267"/>
      <c r="AO63" s="268"/>
      <c r="AP63" s="453"/>
      <c r="AQ63" s="450"/>
      <c r="AS63" s="449"/>
      <c r="AT63" s="452"/>
      <c r="AU63" s="267"/>
      <c r="AV63" s="268"/>
      <c r="AW63" s="269"/>
      <c r="AX63" s="267"/>
      <c r="AY63" s="268"/>
      <c r="AZ63" s="269"/>
      <c r="BA63" s="267"/>
      <c r="BB63" s="268"/>
      <c r="BC63" s="453"/>
      <c r="BD63" s="450"/>
      <c r="BF63" s="449"/>
      <c r="BG63" s="452"/>
      <c r="BH63" s="267"/>
      <c r="BI63" s="268"/>
      <c r="BJ63" s="269"/>
      <c r="BK63" s="267"/>
      <c r="BL63" s="268"/>
      <c r="BM63" s="269"/>
      <c r="BN63" s="267"/>
      <c r="BO63" s="268"/>
      <c r="BP63" s="453"/>
      <c r="BQ63" s="450"/>
    </row>
    <row r="64" spans="1:69" hidden="1" x14ac:dyDescent="0.25">
      <c r="A64" t="s">
        <v>377</v>
      </c>
      <c r="F64" s="449"/>
      <c r="G64" s="452"/>
      <c r="H64" s="269"/>
      <c r="I64" s="269"/>
      <c r="J64" s="269"/>
      <c r="K64" s="269"/>
      <c r="L64" s="269"/>
      <c r="M64" s="269"/>
      <c r="N64" s="269"/>
      <c r="O64" s="269"/>
      <c r="P64" s="453"/>
      <c r="Q64" s="450"/>
      <c r="S64" s="449"/>
      <c r="T64" s="452"/>
      <c r="U64" s="269"/>
      <c r="V64" s="269"/>
      <c r="W64" s="269"/>
      <c r="X64" s="269"/>
      <c r="Y64" s="269"/>
      <c r="Z64" s="269"/>
      <c r="AA64" s="269"/>
      <c r="AB64" s="269"/>
      <c r="AC64" s="453"/>
      <c r="AD64" s="450"/>
      <c r="AF64" s="449"/>
      <c r="AG64" s="452"/>
      <c r="AH64" s="269"/>
      <c r="AI64" s="269"/>
      <c r="AJ64" s="269"/>
      <c r="AK64" s="269"/>
      <c r="AL64" s="269"/>
      <c r="AM64" s="269"/>
      <c r="AN64" s="269"/>
      <c r="AO64" s="269"/>
      <c r="AP64" s="453"/>
      <c r="AQ64" s="450"/>
      <c r="AS64" s="449"/>
      <c r="AT64" s="452"/>
      <c r="AU64" s="269"/>
      <c r="AV64" s="269"/>
      <c r="AW64" s="269"/>
      <c r="AX64" s="269"/>
      <c r="AY64" s="269"/>
      <c r="AZ64" s="269"/>
      <c r="BA64" s="269"/>
      <c r="BB64" s="269"/>
      <c r="BC64" s="453"/>
      <c r="BD64" s="450"/>
      <c r="BF64" s="449"/>
      <c r="BG64" s="452"/>
      <c r="BH64" s="269"/>
      <c r="BI64" s="269"/>
      <c r="BJ64" s="269"/>
      <c r="BK64" s="269"/>
      <c r="BL64" s="269"/>
      <c r="BM64" s="269"/>
      <c r="BN64" s="269"/>
      <c r="BO64" s="269"/>
      <c r="BP64" s="453"/>
      <c r="BQ64" s="450"/>
    </row>
    <row r="65" spans="1:69" ht="56.85" hidden="1" customHeight="1" x14ac:dyDescent="0.25">
      <c r="A65" t="s">
        <v>378</v>
      </c>
      <c r="F65" s="449"/>
      <c r="G65" s="452"/>
      <c r="H65" s="265"/>
      <c r="I65" s="266"/>
      <c r="J65" s="269"/>
      <c r="K65" s="265"/>
      <c r="L65" s="266"/>
      <c r="M65" s="269"/>
      <c r="N65" s="265"/>
      <c r="O65" s="266"/>
      <c r="P65" s="453"/>
      <c r="Q65" s="450"/>
      <c r="S65" s="449"/>
      <c r="T65" s="452"/>
      <c r="U65" s="265"/>
      <c r="V65" s="266"/>
      <c r="W65" s="269"/>
      <c r="X65" s="265"/>
      <c r="Y65" s="266"/>
      <c r="Z65" s="269"/>
      <c r="AA65" s="265"/>
      <c r="AB65" s="266"/>
      <c r="AC65" s="453"/>
      <c r="AD65" s="450"/>
      <c r="AF65" s="449"/>
      <c r="AG65" s="452"/>
      <c r="AH65" s="265"/>
      <c r="AI65" s="266"/>
      <c r="AJ65" s="269"/>
      <c r="AK65" s="265"/>
      <c r="AL65" s="266"/>
      <c r="AM65" s="269"/>
      <c r="AN65" s="265"/>
      <c r="AO65" s="266"/>
      <c r="AP65" s="453"/>
      <c r="AQ65" s="450"/>
      <c r="AS65" s="449"/>
      <c r="AT65" s="452"/>
      <c r="AU65" s="265"/>
      <c r="AV65" s="266"/>
      <c r="AW65" s="269"/>
      <c r="AX65" s="265"/>
      <c r="AY65" s="266"/>
      <c r="AZ65" s="269"/>
      <c r="BA65" s="265"/>
      <c r="BB65" s="266"/>
      <c r="BC65" s="453"/>
      <c r="BD65" s="450"/>
      <c r="BF65" s="449"/>
      <c r="BG65" s="452"/>
      <c r="BH65" s="265"/>
      <c r="BI65" s="266"/>
      <c r="BJ65" s="269"/>
      <c r="BK65" s="265"/>
      <c r="BL65" s="266"/>
      <c r="BM65" s="269"/>
      <c r="BN65" s="265"/>
      <c r="BO65" s="266"/>
      <c r="BP65" s="453"/>
      <c r="BQ65" s="450"/>
    </row>
    <row r="66" spans="1:69" ht="56.85" hidden="1" customHeight="1" x14ac:dyDescent="0.25">
      <c r="A66" s="5"/>
      <c r="F66" s="449"/>
      <c r="G66" s="452"/>
      <c r="H66" s="267"/>
      <c r="I66" s="268"/>
      <c r="J66" s="269"/>
      <c r="K66" s="267"/>
      <c r="L66" s="268"/>
      <c r="M66" s="269"/>
      <c r="N66" s="267"/>
      <c r="O66" s="268"/>
      <c r="P66" s="453"/>
      <c r="Q66" s="450"/>
      <c r="S66" s="449"/>
      <c r="T66" s="452"/>
      <c r="U66" s="267"/>
      <c r="V66" s="268"/>
      <c r="W66" s="269"/>
      <c r="X66" s="267"/>
      <c r="Y66" s="268"/>
      <c r="Z66" s="269"/>
      <c r="AA66" s="267"/>
      <c r="AB66" s="268"/>
      <c r="AC66" s="453"/>
      <c r="AD66" s="450"/>
      <c r="AF66" s="449"/>
      <c r="AG66" s="452"/>
      <c r="AH66" s="267"/>
      <c r="AI66" s="268"/>
      <c r="AJ66" s="269"/>
      <c r="AK66" s="267"/>
      <c r="AL66" s="268"/>
      <c r="AM66" s="269"/>
      <c r="AN66" s="267"/>
      <c r="AO66" s="268"/>
      <c r="AP66" s="453"/>
      <c r="AQ66" s="450"/>
      <c r="AS66" s="449"/>
      <c r="AT66" s="452"/>
      <c r="AU66" s="267"/>
      <c r="AV66" s="268"/>
      <c r="AW66" s="269"/>
      <c r="AX66" s="267"/>
      <c r="AY66" s="268"/>
      <c r="AZ66" s="269"/>
      <c r="BA66" s="267"/>
      <c r="BB66" s="268"/>
      <c r="BC66" s="453"/>
      <c r="BD66" s="450"/>
      <c r="BF66" s="449"/>
      <c r="BG66" s="452"/>
      <c r="BH66" s="267"/>
      <c r="BI66" s="268"/>
      <c r="BJ66" s="269"/>
      <c r="BK66" s="267"/>
      <c r="BL66" s="268"/>
      <c r="BM66" s="269"/>
      <c r="BN66" s="267"/>
      <c r="BO66" s="268"/>
      <c r="BP66" s="453"/>
      <c r="BQ66" s="450"/>
    </row>
    <row r="67" spans="1:69" hidden="1" x14ac:dyDescent="0.25">
      <c r="A67" s="5"/>
      <c r="F67" s="449"/>
      <c r="G67" s="452"/>
      <c r="H67" s="269"/>
      <c r="I67" s="269"/>
      <c r="J67" s="269"/>
      <c r="K67" s="269"/>
      <c r="L67" s="269"/>
      <c r="M67" s="269"/>
      <c r="N67" s="269"/>
      <c r="O67" s="269"/>
      <c r="P67" s="453"/>
      <c r="Q67" s="450"/>
      <c r="S67" s="449"/>
      <c r="T67" s="452"/>
      <c r="U67" s="269"/>
      <c r="V67" s="269"/>
      <c r="W67" s="269"/>
      <c r="X67" s="269"/>
      <c r="Y67" s="269"/>
      <c r="Z67" s="269"/>
      <c r="AA67" s="269"/>
      <c r="AB67" s="269"/>
      <c r="AC67" s="453"/>
      <c r="AD67" s="450"/>
      <c r="AF67" s="449"/>
      <c r="AG67" s="452"/>
      <c r="AH67" s="269"/>
      <c r="AI67" s="269"/>
      <c r="AJ67" s="269"/>
      <c r="AK67" s="269"/>
      <c r="AL67" s="269"/>
      <c r="AM67" s="269"/>
      <c r="AN67" s="269"/>
      <c r="AO67" s="269"/>
      <c r="AP67" s="453"/>
      <c r="AQ67" s="450"/>
      <c r="AS67" s="449"/>
      <c r="AT67" s="452"/>
      <c r="AU67" s="269"/>
      <c r="AV67" s="269"/>
      <c r="AW67" s="269"/>
      <c r="AX67" s="269"/>
      <c r="AY67" s="269"/>
      <c r="AZ67" s="269"/>
      <c r="BA67" s="269"/>
      <c r="BB67" s="269"/>
      <c r="BC67" s="453"/>
      <c r="BD67" s="450"/>
      <c r="BF67" s="449"/>
      <c r="BG67" s="452"/>
      <c r="BH67" s="269"/>
      <c r="BI67" s="269"/>
      <c r="BJ67" s="269"/>
      <c r="BK67" s="269"/>
      <c r="BL67" s="269"/>
      <c r="BM67" s="269"/>
      <c r="BN67" s="269"/>
      <c r="BO67" s="269"/>
      <c r="BP67" s="453"/>
      <c r="BQ67" s="450"/>
    </row>
    <row r="68" spans="1:69" ht="56.85" hidden="1" customHeight="1" x14ac:dyDescent="0.25">
      <c r="A68" s="5"/>
      <c r="F68" s="449"/>
      <c r="G68" s="452"/>
      <c r="H68" s="265"/>
      <c r="I68" s="266"/>
      <c r="J68" s="269"/>
      <c r="K68" s="265"/>
      <c r="L68" s="266"/>
      <c r="M68" s="269"/>
      <c r="N68" s="265"/>
      <c r="O68" s="266"/>
      <c r="P68" s="453"/>
      <c r="Q68" s="450"/>
      <c r="S68" s="449"/>
      <c r="T68" s="452"/>
      <c r="U68" s="265"/>
      <c r="V68" s="266"/>
      <c r="W68" s="269"/>
      <c r="X68" s="265"/>
      <c r="Y68" s="266"/>
      <c r="Z68" s="269"/>
      <c r="AA68" s="265"/>
      <c r="AB68" s="266"/>
      <c r="AC68" s="453"/>
      <c r="AD68" s="450"/>
      <c r="AF68" s="449"/>
      <c r="AG68" s="452"/>
      <c r="AH68" s="265"/>
      <c r="AI68" s="266"/>
      <c r="AJ68" s="269"/>
      <c r="AK68" s="265"/>
      <c r="AL68" s="266"/>
      <c r="AM68" s="269"/>
      <c r="AN68" s="265"/>
      <c r="AO68" s="266"/>
      <c r="AP68" s="453"/>
      <c r="AQ68" s="450"/>
      <c r="AS68" s="449"/>
      <c r="AT68" s="452"/>
      <c r="AU68" s="265"/>
      <c r="AV68" s="266"/>
      <c r="AW68" s="269"/>
      <c r="AX68" s="265"/>
      <c r="AY68" s="266"/>
      <c r="AZ68" s="269"/>
      <c r="BA68" s="265"/>
      <c r="BB68" s="266"/>
      <c r="BC68" s="453"/>
      <c r="BD68" s="450"/>
      <c r="BF68" s="449"/>
      <c r="BG68" s="452"/>
      <c r="BH68" s="265"/>
      <c r="BI68" s="266"/>
      <c r="BJ68" s="269"/>
      <c r="BK68" s="265"/>
      <c r="BL68" s="266"/>
      <c r="BM68" s="269"/>
      <c r="BN68" s="265"/>
      <c r="BO68" s="266"/>
      <c r="BP68" s="453"/>
      <c r="BQ68" s="450"/>
    </row>
    <row r="69" spans="1:69" ht="56.85" hidden="1" customHeight="1" x14ac:dyDescent="0.25">
      <c r="A69" s="5"/>
      <c r="F69" s="449"/>
      <c r="G69" s="452"/>
      <c r="H69" s="267"/>
      <c r="I69" s="268"/>
      <c r="J69" s="269"/>
      <c r="K69" s="267"/>
      <c r="L69" s="268"/>
      <c r="M69" s="269"/>
      <c r="N69" s="267"/>
      <c r="O69" s="268"/>
      <c r="P69" s="453"/>
      <c r="Q69" s="450"/>
      <c r="S69" s="449"/>
      <c r="T69" s="452"/>
      <c r="U69" s="267"/>
      <c r="V69" s="268"/>
      <c r="W69" s="269"/>
      <c r="X69" s="267"/>
      <c r="Y69" s="268"/>
      <c r="Z69" s="269"/>
      <c r="AA69" s="267"/>
      <c r="AB69" s="268"/>
      <c r="AC69" s="453"/>
      <c r="AD69" s="450"/>
      <c r="AF69" s="449"/>
      <c r="AG69" s="452"/>
      <c r="AH69" s="267"/>
      <c r="AI69" s="268"/>
      <c r="AJ69" s="269"/>
      <c r="AK69" s="267"/>
      <c r="AL69" s="268"/>
      <c r="AM69" s="269"/>
      <c r="AN69" s="267"/>
      <c r="AO69" s="268"/>
      <c r="AP69" s="453"/>
      <c r="AQ69" s="450"/>
      <c r="AS69" s="449"/>
      <c r="AT69" s="452"/>
      <c r="AU69" s="267"/>
      <c r="AV69" s="268"/>
      <c r="AW69" s="269"/>
      <c r="AX69" s="267"/>
      <c r="AY69" s="268"/>
      <c r="AZ69" s="269"/>
      <c r="BA69" s="267"/>
      <c r="BB69" s="268"/>
      <c r="BC69" s="453"/>
      <c r="BD69" s="450"/>
      <c r="BF69" s="449"/>
      <c r="BG69" s="452"/>
      <c r="BH69" s="267"/>
      <c r="BI69" s="268"/>
      <c r="BJ69" s="269"/>
      <c r="BK69" s="267"/>
      <c r="BL69" s="268"/>
      <c r="BM69" s="269"/>
      <c r="BN69" s="267"/>
      <c r="BO69" s="268"/>
      <c r="BP69" s="453"/>
      <c r="BQ69" s="450"/>
    </row>
    <row r="70" spans="1:69" hidden="1" x14ac:dyDescent="0.25">
      <c r="A70" s="5"/>
      <c r="F70" s="449"/>
      <c r="G70" s="263"/>
      <c r="H70" s="451"/>
      <c r="I70" s="451"/>
      <c r="J70" s="451"/>
      <c r="K70" s="451"/>
      <c r="L70" s="451"/>
      <c r="M70" s="451"/>
      <c r="N70" s="451"/>
      <c r="O70" s="451"/>
      <c r="P70" s="263"/>
      <c r="Q70" s="450"/>
      <c r="S70" s="449"/>
      <c r="T70" s="263"/>
      <c r="U70" s="451"/>
      <c r="V70" s="451"/>
      <c r="W70" s="451"/>
      <c r="X70" s="451"/>
      <c r="Y70" s="451"/>
      <c r="Z70" s="451"/>
      <c r="AA70" s="451"/>
      <c r="AB70" s="451"/>
      <c r="AC70" s="263"/>
      <c r="AD70" s="450"/>
      <c r="AF70" s="449"/>
      <c r="AG70" s="263"/>
      <c r="AH70" s="451"/>
      <c r="AI70" s="451"/>
      <c r="AJ70" s="451"/>
      <c r="AK70" s="451"/>
      <c r="AL70" s="451"/>
      <c r="AM70" s="451"/>
      <c r="AN70" s="451"/>
      <c r="AO70" s="451"/>
      <c r="AP70" s="263"/>
      <c r="AQ70" s="450"/>
      <c r="AS70" s="449"/>
      <c r="AT70" s="263"/>
      <c r="AU70" s="451"/>
      <c r="AV70" s="451"/>
      <c r="AW70" s="451"/>
      <c r="AX70" s="451"/>
      <c r="AY70" s="451"/>
      <c r="AZ70" s="451"/>
      <c r="BA70" s="451"/>
      <c r="BB70" s="451"/>
      <c r="BC70" s="263"/>
      <c r="BD70" s="450"/>
      <c r="BF70" s="449"/>
      <c r="BG70" s="263"/>
      <c r="BH70" s="451"/>
      <c r="BI70" s="451"/>
      <c r="BJ70" s="451"/>
      <c r="BK70" s="451"/>
      <c r="BL70" s="451"/>
      <c r="BM70" s="451"/>
      <c r="BN70" s="451"/>
      <c r="BO70" s="451"/>
      <c r="BP70" s="263"/>
      <c r="BQ70" s="450"/>
    </row>
    <row r="71" spans="1:69" hidden="1" x14ac:dyDescent="0.25">
      <c r="A71" s="5"/>
      <c r="G71" s="448" t="s">
        <v>1251</v>
      </c>
      <c r="H71" s="448"/>
      <c r="I71" s="448"/>
      <c r="J71" s="448"/>
      <c r="K71" s="448"/>
      <c r="L71" s="448"/>
      <c r="M71" s="448"/>
      <c r="N71" s="448"/>
      <c r="O71" s="448"/>
      <c r="P71" s="448"/>
      <c r="T71" s="448" t="s">
        <v>1251</v>
      </c>
      <c r="U71" s="448"/>
      <c r="V71" s="448"/>
      <c r="W71" s="448"/>
      <c r="X71" s="448"/>
      <c r="Y71" s="448"/>
      <c r="Z71" s="448"/>
      <c r="AA71" s="448"/>
      <c r="AB71" s="448"/>
      <c r="AC71" s="448"/>
      <c r="AG71" s="448" t="s">
        <v>1251</v>
      </c>
      <c r="AH71" s="448"/>
      <c r="AI71" s="448"/>
      <c r="AJ71" s="448"/>
      <c r="AK71" s="448"/>
      <c r="AL71" s="448"/>
      <c r="AM71" s="448"/>
      <c r="AN71" s="448"/>
      <c r="AO71" s="448"/>
      <c r="AP71" s="448"/>
      <c r="AT71" s="448" t="s">
        <v>1251</v>
      </c>
      <c r="AU71" s="448"/>
      <c r="AV71" s="448"/>
      <c r="AW71" s="448"/>
      <c r="AX71" s="448"/>
      <c r="AY71" s="448"/>
      <c r="AZ71" s="448"/>
      <c r="BA71" s="448"/>
      <c r="BB71" s="448"/>
      <c r="BC71" s="448"/>
      <c r="BG71" s="448" t="s">
        <v>1251</v>
      </c>
      <c r="BH71" s="448"/>
      <c r="BI71" s="448"/>
      <c r="BJ71" s="448"/>
      <c r="BK71" s="448"/>
      <c r="BL71" s="448"/>
      <c r="BM71" s="448"/>
      <c r="BN71" s="448"/>
      <c r="BO71" s="448"/>
      <c r="BP71" s="448"/>
    </row>
  </sheetData>
  <sheetProtection sheet="1" objects="1" scenarios="1" selectLockedCells="1"/>
  <mergeCells count="200">
    <mergeCell ref="G8:P8"/>
    <mergeCell ref="T8:AC8"/>
    <mergeCell ref="AG8:AP8"/>
    <mergeCell ref="AT8:BC8"/>
    <mergeCell ref="BG8:BP8"/>
    <mergeCell ref="F9:F18"/>
    <mergeCell ref="H9:O9"/>
    <mergeCell ref="Q9:Q18"/>
    <mergeCell ref="S9:S18"/>
    <mergeCell ref="U9:AB9"/>
    <mergeCell ref="BQ9:BQ18"/>
    <mergeCell ref="G10:G17"/>
    <mergeCell ref="P10:P17"/>
    <mergeCell ref="T10:T17"/>
    <mergeCell ref="AC10:AC17"/>
    <mergeCell ref="AG10:AG17"/>
    <mergeCell ref="AP10:AP17"/>
    <mergeCell ref="AD9:AD18"/>
    <mergeCell ref="AF9:AF18"/>
    <mergeCell ref="AH9:AO9"/>
    <mergeCell ref="AQ9:AQ18"/>
    <mergeCell ref="AS9:AS18"/>
    <mergeCell ref="AU9:BB9"/>
    <mergeCell ref="AT10:AT17"/>
    <mergeCell ref="AT19:BC19"/>
    <mergeCell ref="BG19:BP19"/>
    <mergeCell ref="G21:P21"/>
    <mergeCell ref="T21:AC21"/>
    <mergeCell ref="AG21:AP21"/>
    <mergeCell ref="AT21:BC21"/>
    <mergeCell ref="BG21:BP21"/>
    <mergeCell ref="BC10:BC17"/>
    <mergeCell ref="BG10:BG17"/>
    <mergeCell ref="BP10:BP17"/>
    <mergeCell ref="H18:O18"/>
    <mergeCell ref="U18:AB18"/>
    <mergeCell ref="AH18:AO18"/>
    <mergeCell ref="AU18:BB18"/>
    <mergeCell ref="BH18:BO18"/>
    <mergeCell ref="BD9:BD18"/>
    <mergeCell ref="BF9:BF18"/>
    <mergeCell ref="BH9:BO9"/>
    <mergeCell ref="F22:F31"/>
    <mergeCell ref="H22:O22"/>
    <mergeCell ref="Q22:Q31"/>
    <mergeCell ref="S22:S31"/>
    <mergeCell ref="U22:AB22"/>
    <mergeCell ref="AD22:AD31"/>
    <mergeCell ref="G19:P19"/>
    <mergeCell ref="T19:AC19"/>
    <mergeCell ref="AG19:AP19"/>
    <mergeCell ref="BQ22:BQ31"/>
    <mergeCell ref="G23:G30"/>
    <mergeCell ref="P23:P30"/>
    <mergeCell ref="T23:T30"/>
    <mergeCell ref="AC23:AC30"/>
    <mergeCell ref="AG23:AG30"/>
    <mergeCell ref="AP23:AP30"/>
    <mergeCell ref="AT23:AT30"/>
    <mergeCell ref="AF22:AF31"/>
    <mergeCell ref="AH22:AO22"/>
    <mergeCell ref="AQ22:AQ31"/>
    <mergeCell ref="AS22:AS31"/>
    <mergeCell ref="AU22:BB22"/>
    <mergeCell ref="BD22:BD31"/>
    <mergeCell ref="BC23:BC30"/>
    <mergeCell ref="AT32:BC32"/>
    <mergeCell ref="BG32:BP32"/>
    <mergeCell ref="G34:P34"/>
    <mergeCell ref="T34:AC34"/>
    <mergeCell ref="AG34:AP34"/>
    <mergeCell ref="AT34:BC34"/>
    <mergeCell ref="BG34:BP34"/>
    <mergeCell ref="BG23:BG30"/>
    <mergeCell ref="BP23:BP30"/>
    <mergeCell ref="H31:O31"/>
    <mergeCell ref="U31:AB31"/>
    <mergeCell ref="AH31:AO31"/>
    <mergeCell ref="AU31:BB31"/>
    <mergeCell ref="BH31:BO31"/>
    <mergeCell ref="BF22:BF31"/>
    <mergeCell ref="BH22:BO22"/>
    <mergeCell ref="F35:F44"/>
    <mergeCell ref="H35:O35"/>
    <mergeCell ref="Q35:Q44"/>
    <mergeCell ref="S35:S44"/>
    <mergeCell ref="U35:AB35"/>
    <mergeCell ref="AD35:AD44"/>
    <mergeCell ref="G32:P32"/>
    <mergeCell ref="T32:AC32"/>
    <mergeCell ref="AG32:AP32"/>
    <mergeCell ref="BQ35:BQ44"/>
    <mergeCell ref="G36:G43"/>
    <mergeCell ref="P36:P43"/>
    <mergeCell ref="T36:T43"/>
    <mergeCell ref="AC36:AC43"/>
    <mergeCell ref="AG36:AG43"/>
    <mergeCell ref="AP36:AP43"/>
    <mergeCell ref="AT36:AT43"/>
    <mergeCell ref="AF35:AF44"/>
    <mergeCell ref="AH35:AO35"/>
    <mergeCell ref="AQ35:AQ44"/>
    <mergeCell ref="AS35:AS44"/>
    <mergeCell ref="AU35:BB35"/>
    <mergeCell ref="BD35:BD44"/>
    <mergeCell ref="BC36:BC43"/>
    <mergeCell ref="AT45:BC45"/>
    <mergeCell ref="BG45:BP45"/>
    <mergeCell ref="G47:P47"/>
    <mergeCell ref="T47:AC47"/>
    <mergeCell ref="AG47:AP47"/>
    <mergeCell ref="AT47:BC47"/>
    <mergeCell ref="BG47:BP47"/>
    <mergeCell ref="BG36:BG43"/>
    <mergeCell ref="BP36:BP43"/>
    <mergeCell ref="H44:O44"/>
    <mergeCell ref="U44:AB44"/>
    <mergeCell ref="AH44:AO44"/>
    <mergeCell ref="AU44:BB44"/>
    <mergeCell ref="BH44:BO44"/>
    <mergeCell ref="BF35:BF44"/>
    <mergeCell ref="BH35:BO35"/>
    <mergeCell ref="F48:F57"/>
    <mergeCell ref="H48:O48"/>
    <mergeCell ref="Q48:Q57"/>
    <mergeCell ref="S48:S57"/>
    <mergeCell ref="U48:AB48"/>
    <mergeCell ref="AD48:AD57"/>
    <mergeCell ref="G45:P45"/>
    <mergeCell ref="T45:AC45"/>
    <mergeCell ref="AG45:AP45"/>
    <mergeCell ref="BQ48:BQ57"/>
    <mergeCell ref="G49:G56"/>
    <mergeCell ref="P49:P56"/>
    <mergeCell ref="T49:T56"/>
    <mergeCell ref="AC49:AC56"/>
    <mergeCell ref="AG49:AG56"/>
    <mergeCell ref="AP49:AP56"/>
    <mergeCell ref="AT49:AT56"/>
    <mergeCell ref="AF48:AF57"/>
    <mergeCell ref="AH48:AO48"/>
    <mergeCell ref="AQ48:AQ57"/>
    <mergeCell ref="AS48:AS57"/>
    <mergeCell ref="AU48:BB48"/>
    <mergeCell ref="BD48:BD57"/>
    <mergeCell ref="BC49:BC56"/>
    <mergeCell ref="AT58:BC58"/>
    <mergeCell ref="BG58:BP58"/>
    <mergeCell ref="G60:P60"/>
    <mergeCell ref="T60:AC60"/>
    <mergeCell ref="AG60:AP60"/>
    <mergeCell ref="AT60:BC60"/>
    <mergeCell ref="BG60:BP60"/>
    <mergeCell ref="BG49:BG56"/>
    <mergeCell ref="BP49:BP56"/>
    <mergeCell ref="H57:O57"/>
    <mergeCell ref="U57:AB57"/>
    <mergeCell ref="AH57:AO57"/>
    <mergeCell ref="AU57:BB57"/>
    <mergeCell ref="BH57:BO57"/>
    <mergeCell ref="BF48:BF57"/>
    <mergeCell ref="BH48:BO48"/>
    <mergeCell ref="F61:F70"/>
    <mergeCell ref="H61:O61"/>
    <mergeCell ref="Q61:Q70"/>
    <mergeCell ref="S61:S70"/>
    <mergeCell ref="U61:AB61"/>
    <mergeCell ref="AD61:AD70"/>
    <mergeCell ref="G58:P58"/>
    <mergeCell ref="T58:AC58"/>
    <mergeCell ref="AG58:AP58"/>
    <mergeCell ref="BQ61:BQ70"/>
    <mergeCell ref="G62:G69"/>
    <mergeCell ref="P62:P69"/>
    <mergeCell ref="T62:T69"/>
    <mergeCell ref="AC62:AC69"/>
    <mergeCell ref="AG62:AG69"/>
    <mergeCell ref="AP62:AP69"/>
    <mergeCell ref="AT62:AT69"/>
    <mergeCell ref="AF61:AF70"/>
    <mergeCell ref="AH61:AO61"/>
    <mergeCell ref="AQ61:AQ70"/>
    <mergeCell ref="AS61:AS70"/>
    <mergeCell ref="AU61:BB61"/>
    <mergeCell ref="BD61:BD70"/>
    <mergeCell ref="BC62:BC69"/>
    <mergeCell ref="G71:P71"/>
    <mergeCell ref="T71:AC71"/>
    <mergeCell ref="AG71:AP71"/>
    <mergeCell ref="AT71:BC71"/>
    <mergeCell ref="BG71:BP71"/>
    <mergeCell ref="BG62:BG69"/>
    <mergeCell ref="BP62:BP69"/>
    <mergeCell ref="H70:O70"/>
    <mergeCell ref="U70:AB70"/>
    <mergeCell ref="AH70:AO70"/>
    <mergeCell ref="AU70:BB70"/>
    <mergeCell ref="BH70:BO70"/>
    <mergeCell ref="BF61:BF70"/>
    <mergeCell ref="BH61:BO61"/>
  </mergeCells>
  <conditionalFormatting sqref="H9:O9">
    <cfRule type="expression" dxfId="924" priority="925">
      <formula>H9="City Wall"</formula>
    </cfRule>
  </conditionalFormatting>
  <conditionalFormatting sqref="H18:O18">
    <cfRule type="expression" dxfId="923" priority="924">
      <formula>H18="City Wall"</formula>
    </cfRule>
  </conditionalFormatting>
  <conditionalFormatting sqref="G10:G17">
    <cfRule type="expression" dxfId="922" priority="923">
      <formula>G10="City Wall"</formula>
    </cfRule>
  </conditionalFormatting>
  <conditionalFormatting sqref="P10:P17">
    <cfRule type="expression" dxfId="921" priority="922">
      <formula>P10="City Wall"</formula>
    </cfRule>
  </conditionalFormatting>
  <conditionalFormatting sqref="G9">
    <cfRule type="expression" dxfId="920" priority="920">
      <formula>G10="City Wall"</formula>
    </cfRule>
    <cfRule type="expression" dxfId="919" priority="921">
      <formula>H9="City Wall"</formula>
    </cfRule>
  </conditionalFormatting>
  <conditionalFormatting sqref="P9">
    <cfRule type="expression" dxfId="918" priority="918">
      <formula>P10="City Wall"</formula>
    </cfRule>
    <cfRule type="expression" dxfId="917" priority="919">
      <formula>H9="City Wall"</formula>
    </cfRule>
  </conditionalFormatting>
  <conditionalFormatting sqref="P18">
    <cfRule type="expression" dxfId="916" priority="916">
      <formula>H18="City Wall"</formula>
    </cfRule>
    <cfRule type="expression" dxfId="915" priority="917">
      <formula>P10="City Wall"</formula>
    </cfRule>
  </conditionalFormatting>
  <conditionalFormatting sqref="G18">
    <cfRule type="expression" dxfId="914" priority="914">
      <formula>G10="City Wall"</formula>
    </cfRule>
    <cfRule type="expression" dxfId="913" priority="915">
      <formula>H18="City Wall"</formula>
    </cfRule>
  </conditionalFormatting>
  <conditionalFormatting sqref="G19:P19">
    <cfRule type="expression" dxfId="912" priority="912">
      <formula>G19="Land"</formula>
    </cfRule>
    <cfRule type="expression" dxfId="911" priority="913">
      <formula>G19="Water"</formula>
    </cfRule>
  </conditionalFormatting>
  <conditionalFormatting sqref="Q19">
    <cfRule type="expression" dxfId="910" priority="908" stopIfTrue="1">
      <formula>Q9="Water"</formula>
    </cfRule>
    <cfRule type="expression" dxfId="909" priority="909" stopIfTrue="1">
      <formula>G19="Water"</formula>
    </cfRule>
    <cfRule type="expression" dxfId="908" priority="910" stopIfTrue="1">
      <formula>G19="Land"</formula>
    </cfRule>
    <cfRule type="expression" dxfId="907" priority="911" stopIfTrue="1">
      <formula>Q9="Land"</formula>
    </cfRule>
  </conditionalFormatting>
  <conditionalFormatting sqref="G8:P8">
    <cfRule type="expression" dxfId="906" priority="906" stopIfTrue="1">
      <formula>G8="Water"</formula>
    </cfRule>
    <cfRule type="expression" dxfId="905" priority="907" stopIfTrue="1">
      <formula>G8="Land"</formula>
    </cfRule>
  </conditionalFormatting>
  <conditionalFormatting sqref="F19">
    <cfRule type="expression" dxfId="904" priority="902" stopIfTrue="1">
      <formula>F9="Water"</formula>
    </cfRule>
    <cfRule type="expression" dxfId="903" priority="903" stopIfTrue="1">
      <formula>G19="Water"</formula>
    </cfRule>
    <cfRule type="expression" dxfId="902" priority="904" stopIfTrue="1">
      <formula>G19="Land"</formula>
    </cfRule>
    <cfRule type="expression" dxfId="901" priority="905" stopIfTrue="1">
      <formula>F9="Land"</formula>
    </cfRule>
  </conditionalFormatting>
  <conditionalFormatting sqref="F9:F18">
    <cfRule type="expression" dxfId="900" priority="900" stopIfTrue="1">
      <formula>F9="Water"</formula>
    </cfRule>
    <cfRule type="expression" dxfId="899" priority="901" stopIfTrue="1">
      <formula>F9="Land"</formula>
    </cfRule>
  </conditionalFormatting>
  <conditionalFormatting sqref="Q9:Q18">
    <cfRule type="expression" dxfId="898" priority="898" stopIfTrue="1">
      <formula>Q9="Water"</formula>
    </cfRule>
    <cfRule type="expression" dxfId="897" priority="899" stopIfTrue="1">
      <formula>Q9="Land"</formula>
    </cfRule>
  </conditionalFormatting>
  <conditionalFormatting sqref="Q8">
    <cfRule type="expression" dxfId="896" priority="894" stopIfTrue="1">
      <formula>Q9="Water"</formula>
    </cfRule>
    <cfRule type="expression" dxfId="895" priority="895" stopIfTrue="1">
      <formula>G8="Water"</formula>
    </cfRule>
    <cfRule type="expression" dxfId="894" priority="896" stopIfTrue="1">
      <formula>G8="Land"</formula>
    </cfRule>
    <cfRule type="expression" dxfId="893" priority="897" stopIfTrue="1">
      <formula>Q9="Land"</formula>
    </cfRule>
  </conditionalFormatting>
  <conditionalFormatting sqref="F8">
    <cfRule type="expression" dxfId="892" priority="890" stopIfTrue="1">
      <formula>G8="Water"</formula>
    </cfRule>
    <cfRule type="expression" dxfId="891" priority="891" stopIfTrue="1">
      <formula>F9="Water"</formula>
    </cfRule>
    <cfRule type="expression" dxfId="890" priority="892" stopIfTrue="1">
      <formula>G8="Land"</formula>
    </cfRule>
    <cfRule type="expression" dxfId="889" priority="893" stopIfTrue="1">
      <formula>F9="Land"</formula>
    </cfRule>
  </conditionalFormatting>
  <conditionalFormatting sqref="H10:O17">
    <cfRule type="expression" dxfId="888" priority="889">
      <formula>H10&lt;&gt;""</formula>
    </cfRule>
  </conditionalFormatting>
  <conditionalFormatting sqref="U9:AB9">
    <cfRule type="expression" dxfId="887" priority="888">
      <formula>U9="City Wall"</formula>
    </cfRule>
  </conditionalFormatting>
  <conditionalFormatting sqref="U18:AB18">
    <cfRule type="expression" dxfId="886" priority="887">
      <formula>U18="City Wall"</formula>
    </cfRule>
  </conditionalFormatting>
  <conditionalFormatting sqref="T10:T17">
    <cfRule type="expression" dxfId="885" priority="886">
      <formula>T10="City Wall"</formula>
    </cfRule>
  </conditionalFormatting>
  <conditionalFormatting sqref="AC10:AC17">
    <cfRule type="expression" dxfId="884" priority="885">
      <formula>AC10="City Wall"</formula>
    </cfRule>
  </conditionalFormatting>
  <conditionalFormatting sqref="T9">
    <cfRule type="expression" dxfId="883" priority="883">
      <formula>T10="City Wall"</formula>
    </cfRule>
    <cfRule type="expression" dxfId="882" priority="884">
      <formula>U9="City Wall"</formula>
    </cfRule>
  </conditionalFormatting>
  <conditionalFormatting sqref="AC9">
    <cfRule type="expression" dxfId="881" priority="881">
      <formula>AC10="City Wall"</formula>
    </cfRule>
    <cfRule type="expression" dxfId="880" priority="882">
      <formula>U9="City Wall"</formula>
    </cfRule>
  </conditionalFormatting>
  <conditionalFormatting sqref="AC18">
    <cfRule type="expression" dxfId="879" priority="879">
      <formula>U18="City Wall"</formula>
    </cfRule>
    <cfRule type="expression" dxfId="878" priority="880">
      <formula>AC10="City Wall"</formula>
    </cfRule>
  </conditionalFormatting>
  <conditionalFormatting sqref="T18">
    <cfRule type="expression" dxfId="877" priority="877">
      <formula>T10="City Wall"</formula>
    </cfRule>
    <cfRule type="expression" dxfId="876" priority="878">
      <formula>U18="City Wall"</formula>
    </cfRule>
  </conditionalFormatting>
  <conditionalFormatting sqref="T19:AC19">
    <cfRule type="expression" dxfId="875" priority="875">
      <formula>T19="Land"</formula>
    </cfRule>
    <cfRule type="expression" dxfId="874" priority="876">
      <formula>T19="Water"</formula>
    </cfRule>
  </conditionalFormatting>
  <conditionalFormatting sqref="AD19">
    <cfRule type="expression" dxfId="873" priority="871" stopIfTrue="1">
      <formula>AD9="Water"</formula>
    </cfRule>
    <cfRule type="expression" dxfId="872" priority="872" stopIfTrue="1">
      <formula>T19="Water"</formula>
    </cfRule>
    <cfRule type="expression" dxfId="871" priority="873" stopIfTrue="1">
      <formula>T19="Land"</formula>
    </cfRule>
    <cfRule type="expression" dxfId="870" priority="874" stopIfTrue="1">
      <formula>AD9="Land"</formula>
    </cfRule>
  </conditionalFormatting>
  <conditionalFormatting sqref="T8:AC8">
    <cfRule type="expression" dxfId="869" priority="869" stopIfTrue="1">
      <formula>T8="Water"</formula>
    </cfRule>
    <cfRule type="expression" dxfId="868" priority="870" stopIfTrue="1">
      <formula>T8="Land"</formula>
    </cfRule>
  </conditionalFormatting>
  <conditionalFormatting sqref="S19">
    <cfRule type="expression" dxfId="867" priority="865" stopIfTrue="1">
      <formula>S9="Water"</formula>
    </cfRule>
    <cfRule type="expression" dxfId="866" priority="866" stopIfTrue="1">
      <formula>T19="Water"</formula>
    </cfRule>
    <cfRule type="expression" dxfId="865" priority="867" stopIfTrue="1">
      <formula>T19="Land"</formula>
    </cfRule>
    <cfRule type="expression" dxfId="864" priority="868" stopIfTrue="1">
      <formula>S9="Land"</formula>
    </cfRule>
  </conditionalFormatting>
  <conditionalFormatting sqref="S9:S18">
    <cfRule type="expression" dxfId="863" priority="863" stopIfTrue="1">
      <formula>S9="Water"</formula>
    </cfRule>
    <cfRule type="expression" dxfId="862" priority="864" stopIfTrue="1">
      <formula>S9="Land"</formula>
    </cfRule>
  </conditionalFormatting>
  <conditionalFormatting sqref="AD9:AD18">
    <cfRule type="expression" dxfId="861" priority="861" stopIfTrue="1">
      <formula>AD9="Water"</formula>
    </cfRule>
    <cfRule type="expression" dxfId="860" priority="862" stopIfTrue="1">
      <formula>AD9="Land"</formula>
    </cfRule>
  </conditionalFormatting>
  <conditionalFormatting sqref="AD8">
    <cfRule type="expression" dxfId="859" priority="857" stopIfTrue="1">
      <formula>AD9="Water"</formula>
    </cfRule>
    <cfRule type="expression" dxfId="858" priority="858" stopIfTrue="1">
      <formula>T8="Water"</formula>
    </cfRule>
    <cfRule type="expression" dxfId="857" priority="859" stopIfTrue="1">
      <formula>T8="Land"</formula>
    </cfRule>
    <cfRule type="expression" dxfId="856" priority="860" stopIfTrue="1">
      <formula>AD9="Land"</formula>
    </cfRule>
  </conditionalFormatting>
  <conditionalFormatting sqref="S8">
    <cfRule type="expression" dxfId="855" priority="853" stopIfTrue="1">
      <formula>T8="Water"</formula>
    </cfRule>
    <cfRule type="expression" dxfId="854" priority="854" stopIfTrue="1">
      <formula>S9="Water"</formula>
    </cfRule>
    <cfRule type="expression" dxfId="853" priority="855" stopIfTrue="1">
      <formula>T8="Land"</formula>
    </cfRule>
    <cfRule type="expression" dxfId="852" priority="856" stopIfTrue="1">
      <formula>S9="Land"</formula>
    </cfRule>
  </conditionalFormatting>
  <conditionalFormatting sqref="U10:AB17">
    <cfRule type="expression" dxfId="851" priority="852">
      <formula>U10&lt;&gt;""</formula>
    </cfRule>
  </conditionalFormatting>
  <conditionalFormatting sqref="AH9:AO9">
    <cfRule type="expression" dxfId="850" priority="851">
      <formula>AH9="City Wall"</formula>
    </cfRule>
  </conditionalFormatting>
  <conditionalFormatting sqref="AH18:AO18">
    <cfRule type="expression" dxfId="849" priority="850">
      <formula>AH18="City Wall"</formula>
    </cfRule>
  </conditionalFormatting>
  <conditionalFormatting sqref="AG10:AG17">
    <cfRule type="expression" dxfId="848" priority="849">
      <formula>AG10="City Wall"</formula>
    </cfRule>
  </conditionalFormatting>
  <conditionalFormatting sqref="AP10:AP17">
    <cfRule type="expression" dxfId="847" priority="848">
      <formula>AP10="City Wall"</formula>
    </cfRule>
  </conditionalFormatting>
  <conditionalFormatting sqref="AG9">
    <cfRule type="expression" dxfId="846" priority="846">
      <formula>AG10="City Wall"</formula>
    </cfRule>
    <cfRule type="expression" dxfId="845" priority="847">
      <formula>AH9="City Wall"</formula>
    </cfRule>
  </conditionalFormatting>
  <conditionalFormatting sqref="AP9">
    <cfRule type="expression" dxfId="844" priority="844">
      <formula>AP10="City Wall"</formula>
    </cfRule>
    <cfRule type="expression" dxfId="843" priority="845">
      <formula>AH9="City Wall"</formula>
    </cfRule>
  </conditionalFormatting>
  <conditionalFormatting sqref="AP18">
    <cfRule type="expression" dxfId="842" priority="842">
      <formula>AH18="City Wall"</formula>
    </cfRule>
    <cfRule type="expression" dxfId="841" priority="843">
      <formula>AP10="City Wall"</formula>
    </cfRule>
  </conditionalFormatting>
  <conditionalFormatting sqref="AG18">
    <cfRule type="expression" dxfId="840" priority="840">
      <formula>AG10="City Wall"</formula>
    </cfRule>
    <cfRule type="expression" dxfId="839" priority="841">
      <formula>AH18="City Wall"</formula>
    </cfRule>
  </conditionalFormatting>
  <conditionalFormatting sqref="AG19:AP19">
    <cfRule type="expression" dxfId="838" priority="838">
      <formula>AG19="Land"</formula>
    </cfRule>
    <cfRule type="expression" dxfId="837" priority="839">
      <formula>AG19="Water"</formula>
    </cfRule>
  </conditionalFormatting>
  <conditionalFormatting sqref="AQ19">
    <cfRule type="expression" dxfId="836" priority="834" stopIfTrue="1">
      <formula>AQ9="Water"</formula>
    </cfRule>
    <cfRule type="expression" dxfId="835" priority="835" stopIfTrue="1">
      <formula>AG19="Water"</formula>
    </cfRule>
    <cfRule type="expression" dxfId="834" priority="836" stopIfTrue="1">
      <formula>AG19="Land"</formula>
    </cfRule>
    <cfRule type="expression" dxfId="833" priority="837" stopIfTrue="1">
      <formula>AQ9="Land"</formula>
    </cfRule>
  </conditionalFormatting>
  <conditionalFormatting sqref="AG8:AP8">
    <cfRule type="expression" dxfId="832" priority="832" stopIfTrue="1">
      <formula>AG8="Water"</formula>
    </cfRule>
    <cfRule type="expression" dxfId="831" priority="833" stopIfTrue="1">
      <formula>AG8="Land"</formula>
    </cfRule>
  </conditionalFormatting>
  <conditionalFormatting sqref="AF19">
    <cfRule type="expression" dxfId="830" priority="828" stopIfTrue="1">
      <formula>AF9="Water"</formula>
    </cfRule>
    <cfRule type="expression" dxfId="829" priority="829" stopIfTrue="1">
      <formula>AG19="Water"</formula>
    </cfRule>
    <cfRule type="expression" dxfId="828" priority="830" stopIfTrue="1">
      <formula>AG19="Land"</formula>
    </cfRule>
    <cfRule type="expression" dxfId="827" priority="831" stopIfTrue="1">
      <formula>AF9="Land"</formula>
    </cfRule>
  </conditionalFormatting>
  <conditionalFormatting sqref="AF9:AF18">
    <cfRule type="expression" dxfId="826" priority="826" stopIfTrue="1">
      <formula>AF9="Water"</formula>
    </cfRule>
    <cfRule type="expression" dxfId="825" priority="827" stopIfTrue="1">
      <formula>AF9="Land"</formula>
    </cfRule>
  </conditionalFormatting>
  <conditionalFormatting sqref="AQ9:AQ18">
    <cfRule type="expression" dxfId="824" priority="824" stopIfTrue="1">
      <formula>AQ9="Water"</formula>
    </cfRule>
    <cfRule type="expression" dxfId="823" priority="825" stopIfTrue="1">
      <formula>AQ9="Land"</formula>
    </cfRule>
  </conditionalFormatting>
  <conditionalFormatting sqref="AQ8">
    <cfRule type="expression" dxfId="822" priority="820" stopIfTrue="1">
      <formula>AQ9="Water"</formula>
    </cfRule>
    <cfRule type="expression" dxfId="821" priority="821" stopIfTrue="1">
      <formula>AG8="Water"</formula>
    </cfRule>
    <cfRule type="expression" dxfId="820" priority="822" stopIfTrue="1">
      <formula>AG8="Land"</formula>
    </cfRule>
    <cfRule type="expression" dxfId="819" priority="823" stopIfTrue="1">
      <formula>AQ9="Land"</formula>
    </cfRule>
  </conditionalFormatting>
  <conditionalFormatting sqref="AF8">
    <cfRule type="expression" dxfId="818" priority="816" stopIfTrue="1">
      <formula>AG8="Water"</formula>
    </cfRule>
    <cfRule type="expression" dxfId="817" priority="817" stopIfTrue="1">
      <formula>AF9="Water"</formula>
    </cfRule>
    <cfRule type="expression" dxfId="816" priority="818" stopIfTrue="1">
      <formula>AG8="Land"</formula>
    </cfRule>
    <cfRule type="expression" dxfId="815" priority="819" stopIfTrue="1">
      <formula>AF9="Land"</formula>
    </cfRule>
  </conditionalFormatting>
  <conditionalFormatting sqref="AH10:AO17">
    <cfRule type="expression" dxfId="814" priority="815">
      <formula>AH10&lt;&gt;""</formula>
    </cfRule>
  </conditionalFormatting>
  <conditionalFormatting sqref="H22:O22">
    <cfRule type="expression" dxfId="813" priority="814">
      <formula>H22="City Wall"</formula>
    </cfRule>
  </conditionalFormatting>
  <conditionalFormatting sqref="H31:O31">
    <cfRule type="expression" dxfId="812" priority="813">
      <formula>H31="City Wall"</formula>
    </cfRule>
  </conditionalFormatting>
  <conditionalFormatting sqref="G23:G30">
    <cfRule type="expression" dxfId="811" priority="812">
      <formula>G23="City Wall"</formula>
    </cfRule>
  </conditionalFormatting>
  <conditionalFormatting sqref="P23:P30">
    <cfRule type="expression" dxfId="810" priority="811">
      <formula>P23="City Wall"</formula>
    </cfRule>
  </conditionalFormatting>
  <conditionalFormatting sqref="G22">
    <cfRule type="expression" dxfId="809" priority="809">
      <formula>G23="City Wall"</formula>
    </cfRule>
    <cfRule type="expression" dxfId="808" priority="810">
      <formula>H22="City Wall"</formula>
    </cfRule>
  </conditionalFormatting>
  <conditionalFormatting sqref="P22">
    <cfRule type="expression" dxfId="807" priority="807">
      <formula>P23="City Wall"</formula>
    </cfRule>
    <cfRule type="expression" dxfId="806" priority="808">
      <formula>H22="City Wall"</formula>
    </cfRule>
  </conditionalFormatting>
  <conditionalFormatting sqref="P31">
    <cfRule type="expression" dxfId="805" priority="805">
      <formula>H31="City Wall"</formula>
    </cfRule>
    <cfRule type="expression" dxfId="804" priority="806">
      <formula>P23="City Wall"</formula>
    </cfRule>
  </conditionalFormatting>
  <conditionalFormatting sqref="G31">
    <cfRule type="expression" dxfId="803" priority="803">
      <formula>G23="City Wall"</formula>
    </cfRule>
    <cfRule type="expression" dxfId="802" priority="804">
      <formula>H31="City Wall"</formula>
    </cfRule>
  </conditionalFormatting>
  <conditionalFormatting sqref="G32:P32">
    <cfRule type="expression" dxfId="801" priority="801">
      <formula>G32="Land"</formula>
    </cfRule>
    <cfRule type="expression" dxfId="800" priority="802">
      <formula>G32="Water"</formula>
    </cfRule>
  </conditionalFormatting>
  <conditionalFormatting sqref="Q32">
    <cfRule type="expression" dxfId="799" priority="797" stopIfTrue="1">
      <formula>Q22="Water"</formula>
    </cfRule>
    <cfRule type="expression" dxfId="798" priority="798" stopIfTrue="1">
      <formula>G32="Water"</formula>
    </cfRule>
    <cfRule type="expression" dxfId="797" priority="799" stopIfTrue="1">
      <formula>G32="Land"</formula>
    </cfRule>
    <cfRule type="expression" dxfId="796" priority="800" stopIfTrue="1">
      <formula>Q22="Land"</formula>
    </cfRule>
  </conditionalFormatting>
  <conditionalFormatting sqref="G21:P21">
    <cfRule type="expression" dxfId="795" priority="795" stopIfTrue="1">
      <formula>G21="Water"</formula>
    </cfRule>
    <cfRule type="expression" dxfId="794" priority="796" stopIfTrue="1">
      <formula>G21="Land"</formula>
    </cfRule>
  </conditionalFormatting>
  <conditionalFormatting sqref="F32">
    <cfRule type="expression" dxfId="793" priority="791" stopIfTrue="1">
      <formula>F22="Water"</formula>
    </cfRule>
    <cfRule type="expression" dxfId="792" priority="792" stopIfTrue="1">
      <formula>G32="Water"</formula>
    </cfRule>
    <cfRule type="expression" dxfId="791" priority="793" stopIfTrue="1">
      <formula>G32="Land"</formula>
    </cfRule>
    <cfRule type="expression" dxfId="790" priority="794" stopIfTrue="1">
      <formula>F22="Land"</formula>
    </cfRule>
  </conditionalFormatting>
  <conditionalFormatting sqref="F22:F31">
    <cfRule type="expression" dxfId="789" priority="789" stopIfTrue="1">
      <formula>F22="Water"</formula>
    </cfRule>
    <cfRule type="expression" dxfId="788" priority="790" stopIfTrue="1">
      <formula>F22="Land"</formula>
    </cfRule>
  </conditionalFormatting>
  <conditionalFormatting sqref="Q22:Q31">
    <cfRule type="expression" dxfId="787" priority="787" stopIfTrue="1">
      <formula>Q22="Water"</formula>
    </cfRule>
    <cfRule type="expression" dxfId="786" priority="788" stopIfTrue="1">
      <formula>Q22="Land"</formula>
    </cfRule>
  </conditionalFormatting>
  <conditionalFormatting sqref="Q21">
    <cfRule type="expression" dxfId="785" priority="783" stopIfTrue="1">
      <formula>Q22="Water"</formula>
    </cfRule>
    <cfRule type="expression" dxfId="784" priority="784" stopIfTrue="1">
      <formula>G21="Water"</formula>
    </cfRule>
    <cfRule type="expression" dxfId="783" priority="785" stopIfTrue="1">
      <formula>G21="Land"</formula>
    </cfRule>
    <cfRule type="expression" dxfId="782" priority="786" stopIfTrue="1">
      <formula>Q22="Land"</formula>
    </cfRule>
  </conditionalFormatting>
  <conditionalFormatting sqref="F21">
    <cfRule type="expression" dxfId="781" priority="779" stopIfTrue="1">
      <formula>G21="Water"</formula>
    </cfRule>
    <cfRule type="expression" dxfId="780" priority="780" stopIfTrue="1">
      <formula>F22="Water"</formula>
    </cfRule>
    <cfRule type="expression" dxfId="779" priority="781" stopIfTrue="1">
      <formula>G21="Land"</formula>
    </cfRule>
    <cfRule type="expression" dxfId="778" priority="782" stopIfTrue="1">
      <formula>F22="Land"</formula>
    </cfRule>
  </conditionalFormatting>
  <conditionalFormatting sqref="H23:O30">
    <cfRule type="expression" dxfId="777" priority="778">
      <formula>H23&lt;&gt;""</formula>
    </cfRule>
  </conditionalFormatting>
  <conditionalFormatting sqref="U22:AB22">
    <cfRule type="expression" dxfId="776" priority="777">
      <formula>U22="City Wall"</formula>
    </cfRule>
  </conditionalFormatting>
  <conditionalFormatting sqref="U31:AB31">
    <cfRule type="expression" dxfId="775" priority="776">
      <formula>U31="City Wall"</formula>
    </cfRule>
  </conditionalFormatting>
  <conditionalFormatting sqref="T23:T30">
    <cfRule type="expression" dxfId="774" priority="775">
      <formula>T23="City Wall"</formula>
    </cfRule>
  </conditionalFormatting>
  <conditionalFormatting sqref="AC23:AC30">
    <cfRule type="expression" dxfId="773" priority="774">
      <formula>AC23="City Wall"</formula>
    </cfRule>
  </conditionalFormatting>
  <conditionalFormatting sqref="T22">
    <cfRule type="expression" dxfId="772" priority="772">
      <formula>T23="City Wall"</formula>
    </cfRule>
    <cfRule type="expression" dxfId="771" priority="773">
      <formula>U22="City Wall"</formula>
    </cfRule>
  </conditionalFormatting>
  <conditionalFormatting sqref="AC22">
    <cfRule type="expression" dxfId="770" priority="770">
      <formula>AC23="City Wall"</formula>
    </cfRule>
    <cfRule type="expression" dxfId="769" priority="771">
      <formula>U22="City Wall"</formula>
    </cfRule>
  </conditionalFormatting>
  <conditionalFormatting sqref="AC31">
    <cfRule type="expression" dxfId="768" priority="768">
      <formula>U31="City Wall"</formula>
    </cfRule>
    <cfRule type="expression" dxfId="767" priority="769">
      <formula>AC23="City Wall"</formula>
    </cfRule>
  </conditionalFormatting>
  <conditionalFormatting sqref="T31">
    <cfRule type="expression" dxfId="766" priority="766">
      <formula>T23="City Wall"</formula>
    </cfRule>
    <cfRule type="expression" dxfId="765" priority="767">
      <formula>U31="City Wall"</formula>
    </cfRule>
  </conditionalFormatting>
  <conditionalFormatting sqref="T32:AC32">
    <cfRule type="expression" dxfId="764" priority="764">
      <formula>T32="Land"</formula>
    </cfRule>
    <cfRule type="expression" dxfId="763" priority="765">
      <formula>T32="Water"</formula>
    </cfRule>
  </conditionalFormatting>
  <conditionalFormatting sqref="AD32">
    <cfRule type="expression" dxfId="762" priority="760" stopIfTrue="1">
      <formula>AD22="Water"</formula>
    </cfRule>
    <cfRule type="expression" dxfId="761" priority="761" stopIfTrue="1">
      <formula>T32="Water"</formula>
    </cfRule>
    <cfRule type="expression" dxfId="760" priority="762" stopIfTrue="1">
      <formula>T32="Land"</formula>
    </cfRule>
    <cfRule type="expression" dxfId="759" priority="763" stopIfTrue="1">
      <formula>AD22="Land"</formula>
    </cfRule>
  </conditionalFormatting>
  <conditionalFormatting sqref="T21:AC21">
    <cfRule type="expression" dxfId="758" priority="758" stopIfTrue="1">
      <formula>T21="Water"</formula>
    </cfRule>
    <cfRule type="expression" dxfId="757" priority="759" stopIfTrue="1">
      <formula>T21="Land"</formula>
    </cfRule>
  </conditionalFormatting>
  <conditionalFormatting sqref="S32">
    <cfRule type="expression" dxfId="756" priority="754" stopIfTrue="1">
      <formula>S22="Water"</formula>
    </cfRule>
    <cfRule type="expression" dxfId="755" priority="755" stopIfTrue="1">
      <formula>T32="Water"</formula>
    </cfRule>
    <cfRule type="expression" dxfId="754" priority="756" stopIfTrue="1">
      <formula>T32="Land"</formula>
    </cfRule>
    <cfRule type="expression" dxfId="753" priority="757" stopIfTrue="1">
      <formula>S22="Land"</formula>
    </cfRule>
  </conditionalFormatting>
  <conditionalFormatting sqref="S22:S31">
    <cfRule type="expression" dxfId="752" priority="752" stopIfTrue="1">
      <formula>S22="Water"</formula>
    </cfRule>
    <cfRule type="expression" dxfId="751" priority="753" stopIfTrue="1">
      <formula>S22="Land"</formula>
    </cfRule>
  </conditionalFormatting>
  <conditionalFormatting sqref="AD22:AD31">
    <cfRule type="expression" dxfId="750" priority="750" stopIfTrue="1">
      <formula>AD22="Water"</formula>
    </cfRule>
    <cfRule type="expression" dxfId="749" priority="751" stopIfTrue="1">
      <formula>AD22="Land"</formula>
    </cfRule>
  </conditionalFormatting>
  <conditionalFormatting sqref="AD21">
    <cfRule type="expression" dxfId="748" priority="746" stopIfTrue="1">
      <formula>AD22="Water"</formula>
    </cfRule>
    <cfRule type="expression" dxfId="747" priority="747" stopIfTrue="1">
      <formula>T21="Water"</formula>
    </cfRule>
    <cfRule type="expression" dxfId="746" priority="748" stopIfTrue="1">
      <formula>T21="Land"</formula>
    </cfRule>
    <cfRule type="expression" dxfId="745" priority="749" stopIfTrue="1">
      <formula>AD22="Land"</formula>
    </cfRule>
  </conditionalFormatting>
  <conditionalFormatting sqref="S21">
    <cfRule type="expression" dxfId="744" priority="742" stopIfTrue="1">
      <formula>T21="Water"</formula>
    </cfRule>
    <cfRule type="expression" dxfId="743" priority="743" stopIfTrue="1">
      <formula>S22="Water"</formula>
    </cfRule>
    <cfRule type="expression" dxfId="742" priority="744" stopIfTrue="1">
      <formula>T21="Land"</formula>
    </cfRule>
    <cfRule type="expression" dxfId="741" priority="745" stopIfTrue="1">
      <formula>S22="Land"</formula>
    </cfRule>
  </conditionalFormatting>
  <conditionalFormatting sqref="U23:AB30">
    <cfRule type="expression" dxfId="740" priority="741">
      <formula>U23&lt;&gt;""</formula>
    </cfRule>
  </conditionalFormatting>
  <conditionalFormatting sqref="AH22:AO22">
    <cfRule type="expression" dxfId="739" priority="740">
      <formula>AH22="City Wall"</formula>
    </cfRule>
  </conditionalFormatting>
  <conditionalFormatting sqref="AH31:AO31">
    <cfRule type="expression" dxfId="738" priority="739">
      <formula>AH31="City Wall"</formula>
    </cfRule>
  </conditionalFormatting>
  <conditionalFormatting sqref="AG23:AG30">
    <cfRule type="expression" dxfId="737" priority="738">
      <formula>AG23="City Wall"</formula>
    </cfRule>
  </conditionalFormatting>
  <conditionalFormatting sqref="AP23:AP30">
    <cfRule type="expression" dxfId="736" priority="737">
      <formula>AP23="City Wall"</formula>
    </cfRule>
  </conditionalFormatting>
  <conditionalFormatting sqref="AG22">
    <cfRule type="expression" dxfId="735" priority="735">
      <formula>AG23="City Wall"</formula>
    </cfRule>
    <cfRule type="expression" dxfId="734" priority="736">
      <formula>AH22="City Wall"</formula>
    </cfRule>
  </conditionalFormatting>
  <conditionalFormatting sqref="AP22">
    <cfRule type="expression" dxfId="733" priority="733">
      <formula>AP23="City Wall"</formula>
    </cfRule>
    <cfRule type="expression" dxfId="732" priority="734">
      <formula>AH22="City Wall"</formula>
    </cfRule>
  </conditionalFormatting>
  <conditionalFormatting sqref="AP31">
    <cfRule type="expression" dxfId="731" priority="731">
      <formula>AH31="City Wall"</formula>
    </cfRule>
    <cfRule type="expression" dxfId="730" priority="732">
      <formula>AP23="City Wall"</formula>
    </cfRule>
  </conditionalFormatting>
  <conditionalFormatting sqref="AG31">
    <cfRule type="expression" dxfId="729" priority="729">
      <formula>AG23="City Wall"</formula>
    </cfRule>
    <cfRule type="expression" dxfId="728" priority="730">
      <formula>AH31="City Wall"</formula>
    </cfRule>
  </conditionalFormatting>
  <conditionalFormatting sqref="AG32:AP32">
    <cfRule type="expression" dxfId="727" priority="727">
      <formula>AG32="Land"</formula>
    </cfRule>
    <cfRule type="expression" dxfId="726" priority="728">
      <formula>AG32="Water"</formula>
    </cfRule>
  </conditionalFormatting>
  <conditionalFormatting sqref="AQ32">
    <cfRule type="expression" dxfId="725" priority="723" stopIfTrue="1">
      <formula>AQ22="Water"</formula>
    </cfRule>
    <cfRule type="expression" dxfId="724" priority="724" stopIfTrue="1">
      <formula>AG32="Water"</formula>
    </cfRule>
    <cfRule type="expression" dxfId="723" priority="725" stopIfTrue="1">
      <formula>AG32="Land"</formula>
    </cfRule>
    <cfRule type="expression" dxfId="722" priority="726" stopIfTrue="1">
      <formula>AQ22="Land"</formula>
    </cfRule>
  </conditionalFormatting>
  <conditionalFormatting sqref="AG21:AP21">
    <cfRule type="expression" dxfId="721" priority="721" stopIfTrue="1">
      <formula>AG21="Water"</formula>
    </cfRule>
    <cfRule type="expression" dxfId="720" priority="722" stopIfTrue="1">
      <formula>AG21="Land"</formula>
    </cfRule>
  </conditionalFormatting>
  <conditionalFormatting sqref="AF32">
    <cfRule type="expression" dxfId="719" priority="717" stopIfTrue="1">
      <formula>AF22="Water"</formula>
    </cfRule>
    <cfRule type="expression" dxfId="718" priority="718" stopIfTrue="1">
      <formula>AG32="Water"</formula>
    </cfRule>
    <cfRule type="expression" dxfId="717" priority="719" stopIfTrue="1">
      <formula>AG32="Land"</formula>
    </cfRule>
    <cfRule type="expression" dxfId="716" priority="720" stopIfTrue="1">
      <formula>AF22="Land"</formula>
    </cfRule>
  </conditionalFormatting>
  <conditionalFormatting sqref="AF22:AF31">
    <cfRule type="expression" dxfId="715" priority="715" stopIfTrue="1">
      <formula>AF22="Water"</formula>
    </cfRule>
    <cfRule type="expression" dxfId="714" priority="716" stopIfTrue="1">
      <formula>AF22="Land"</formula>
    </cfRule>
  </conditionalFormatting>
  <conditionalFormatting sqref="AQ22:AQ31">
    <cfRule type="expression" dxfId="713" priority="713" stopIfTrue="1">
      <formula>AQ22="Water"</formula>
    </cfRule>
    <cfRule type="expression" dxfId="712" priority="714" stopIfTrue="1">
      <formula>AQ22="Land"</formula>
    </cfRule>
  </conditionalFormatting>
  <conditionalFormatting sqref="AQ21">
    <cfRule type="expression" dxfId="711" priority="709" stopIfTrue="1">
      <formula>AQ22="Water"</formula>
    </cfRule>
    <cfRule type="expression" dxfId="710" priority="710" stopIfTrue="1">
      <formula>AG21="Water"</formula>
    </cfRule>
    <cfRule type="expression" dxfId="709" priority="711" stopIfTrue="1">
      <formula>AG21="Land"</formula>
    </cfRule>
    <cfRule type="expression" dxfId="708" priority="712" stopIfTrue="1">
      <formula>AQ22="Land"</formula>
    </cfRule>
  </conditionalFormatting>
  <conditionalFormatting sqref="AF21">
    <cfRule type="expression" dxfId="707" priority="705" stopIfTrue="1">
      <formula>AG21="Water"</formula>
    </cfRule>
    <cfRule type="expression" dxfId="706" priority="706" stopIfTrue="1">
      <formula>AF22="Water"</formula>
    </cfRule>
    <cfRule type="expression" dxfId="705" priority="707" stopIfTrue="1">
      <formula>AG21="Land"</formula>
    </cfRule>
    <cfRule type="expression" dxfId="704" priority="708" stopIfTrue="1">
      <formula>AF22="Land"</formula>
    </cfRule>
  </conditionalFormatting>
  <conditionalFormatting sqref="AH23:AO30">
    <cfRule type="expression" dxfId="703" priority="704">
      <formula>AH23&lt;&gt;""</formula>
    </cfRule>
  </conditionalFormatting>
  <conditionalFormatting sqref="H35:O35">
    <cfRule type="expression" dxfId="702" priority="703">
      <formula>H35="City Wall"</formula>
    </cfRule>
  </conditionalFormatting>
  <conditionalFormatting sqref="H44:O44">
    <cfRule type="expression" dxfId="701" priority="702">
      <formula>H44="City Wall"</formula>
    </cfRule>
  </conditionalFormatting>
  <conditionalFormatting sqref="G36:G43">
    <cfRule type="expression" dxfId="700" priority="701">
      <formula>G36="City Wall"</formula>
    </cfRule>
  </conditionalFormatting>
  <conditionalFormatting sqref="P36:P43">
    <cfRule type="expression" dxfId="699" priority="700">
      <formula>P36="City Wall"</formula>
    </cfRule>
  </conditionalFormatting>
  <conditionalFormatting sqref="G35">
    <cfRule type="expression" dxfId="698" priority="698">
      <formula>G36="City Wall"</formula>
    </cfRule>
    <cfRule type="expression" dxfId="697" priority="699">
      <formula>H35="City Wall"</formula>
    </cfRule>
  </conditionalFormatting>
  <conditionalFormatting sqref="P35">
    <cfRule type="expression" dxfId="696" priority="696">
      <formula>P36="City Wall"</formula>
    </cfRule>
    <cfRule type="expression" dxfId="695" priority="697">
      <formula>H35="City Wall"</formula>
    </cfRule>
  </conditionalFormatting>
  <conditionalFormatting sqref="P44">
    <cfRule type="expression" dxfId="694" priority="694">
      <formula>H44="City Wall"</formula>
    </cfRule>
    <cfRule type="expression" dxfId="693" priority="695">
      <formula>P36="City Wall"</formula>
    </cfRule>
  </conditionalFormatting>
  <conditionalFormatting sqref="G44">
    <cfRule type="expression" dxfId="692" priority="692">
      <formula>G36="City Wall"</formula>
    </cfRule>
    <cfRule type="expression" dxfId="691" priority="693">
      <formula>H44="City Wall"</formula>
    </cfRule>
  </conditionalFormatting>
  <conditionalFormatting sqref="G45:P45">
    <cfRule type="expression" dxfId="690" priority="690">
      <formula>G45="Land"</formula>
    </cfRule>
    <cfRule type="expression" dxfId="689" priority="691">
      <formula>G45="Water"</formula>
    </cfRule>
  </conditionalFormatting>
  <conditionalFormatting sqref="Q45">
    <cfRule type="expression" dxfId="688" priority="686" stopIfTrue="1">
      <formula>Q35="Water"</formula>
    </cfRule>
    <cfRule type="expression" dxfId="687" priority="687" stopIfTrue="1">
      <formula>G45="Water"</formula>
    </cfRule>
    <cfRule type="expression" dxfId="686" priority="688" stopIfTrue="1">
      <formula>G45="Land"</formula>
    </cfRule>
    <cfRule type="expression" dxfId="685" priority="689" stopIfTrue="1">
      <formula>Q35="Land"</formula>
    </cfRule>
  </conditionalFormatting>
  <conditionalFormatting sqref="G34:P34">
    <cfRule type="expression" dxfId="684" priority="684" stopIfTrue="1">
      <formula>G34="Water"</formula>
    </cfRule>
    <cfRule type="expression" dxfId="683" priority="685" stopIfTrue="1">
      <formula>G34="Land"</formula>
    </cfRule>
  </conditionalFormatting>
  <conditionalFormatting sqref="F45">
    <cfRule type="expression" dxfId="682" priority="680" stopIfTrue="1">
      <formula>F35="Water"</formula>
    </cfRule>
    <cfRule type="expression" dxfId="681" priority="681" stopIfTrue="1">
      <formula>G45="Water"</formula>
    </cfRule>
    <cfRule type="expression" dxfId="680" priority="682" stopIfTrue="1">
      <formula>G45="Land"</formula>
    </cfRule>
    <cfRule type="expression" dxfId="679" priority="683" stopIfTrue="1">
      <formula>F35="Land"</formula>
    </cfRule>
  </conditionalFormatting>
  <conditionalFormatting sqref="F35:F44">
    <cfRule type="expression" dxfId="678" priority="678" stopIfTrue="1">
      <formula>F35="Water"</formula>
    </cfRule>
    <cfRule type="expression" dxfId="677" priority="679" stopIfTrue="1">
      <formula>F35="Land"</formula>
    </cfRule>
  </conditionalFormatting>
  <conditionalFormatting sqref="Q35:Q44">
    <cfRule type="expression" dxfId="676" priority="676" stopIfTrue="1">
      <formula>Q35="Water"</formula>
    </cfRule>
    <cfRule type="expression" dxfId="675" priority="677" stopIfTrue="1">
      <formula>Q35="Land"</formula>
    </cfRule>
  </conditionalFormatting>
  <conditionalFormatting sqref="Q34">
    <cfRule type="expression" dxfId="674" priority="672" stopIfTrue="1">
      <formula>Q35="Water"</formula>
    </cfRule>
    <cfRule type="expression" dxfId="673" priority="673" stopIfTrue="1">
      <formula>G34="Water"</formula>
    </cfRule>
    <cfRule type="expression" dxfId="672" priority="674" stopIfTrue="1">
      <formula>G34="Land"</formula>
    </cfRule>
    <cfRule type="expression" dxfId="671" priority="675" stopIfTrue="1">
      <formula>Q35="Land"</formula>
    </cfRule>
  </conditionalFormatting>
  <conditionalFormatting sqref="F34">
    <cfRule type="expression" dxfId="670" priority="668" stopIfTrue="1">
      <formula>G34="Water"</formula>
    </cfRule>
    <cfRule type="expression" dxfId="669" priority="669" stopIfTrue="1">
      <formula>F35="Water"</formula>
    </cfRule>
    <cfRule type="expression" dxfId="668" priority="670" stopIfTrue="1">
      <formula>G34="Land"</formula>
    </cfRule>
    <cfRule type="expression" dxfId="667" priority="671" stopIfTrue="1">
      <formula>F35="Land"</formula>
    </cfRule>
  </conditionalFormatting>
  <conditionalFormatting sqref="H36:O43">
    <cfRule type="expression" dxfId="666" priority="667">
      <formula>H36&lt;&gt;""</formula>
    </cfRule>
  </conditionalFormatting>
  <conditionalFormatting sqref="U35:AB35">
    <cfRule type="expression" dxfId="665" priority="666">
      <formula>U35="City Wall"</formula>
    </cfRule>
  </conditionalFormatting>
  <conditionalFormatting sqref="U44:AB44">
    <cfRule type="expression" dxfId="664" priority="665">
      <formula>U44="City Wall"</formula>
    </cfRule>
  </conditionalFormatting>
  <conditionalFormatting sqref="T36:T43">
    <cfRule type="expression" dxfId="663" priority="664">
      <formula>T36="City Wall"</formula>
    </cfRule>
  </conditionalFormatting>
  <conditionalFormatting sqref="AC36:AC43">
    <cfRule type="expression" dxfId="662" priority="663">
      <formula>AC36="City Wall"</formula>
    </cfRule>
  </conditionalFormatting>
  <conditionalFormatting sqref="T35">
    <cfRule type="expression" dxfId="661" priority="661">
      <formula>T36="City Wall"</formula>
    </cfRule>
    <cfRule type="expression" dxfId="660" priority="662">
      <formula>U35="City Wall"</formula>
    </cfRule>
  </conditionalFormatting>
  <conditionalFormatting sqref="AC35">
    <cfRule type="expression" dxfId="659" priority="659">
      <formula>AC36="City Wall"</formula>
    </cfRule>
    <cfRule type="expression" dxfId="658" priority="660">
      <formula>U35="City Wall"</formula>
    </cfRule>
  </conditionalFormatting>
  <conditionalFormatting sqref="AC44">
    <cfRule type="expression" dxfId="657" priority="657">
      <formula>U44="City Wall"</formula>
    </cfRule>
    <cfRule type="expression" dxfId="656" priority="658">
      <formula>AC36="City Wall"</formula>
    </cfRule>
  </conditionalFormatting>
  <conditionalFormatting sqref="T44">
    <cfRule type="expression" dxfId="655" priority="655">
      <formula>T36="City Wall"</formula>
    </cfRule>
    <cfRule type="expression" dxfId="654" priority="656">
      <formula>U44="City Wall"</formula>
    </cfRule>
  </conditionalFormatting>
  <conditionalFormatting sqref="T45:AC45">
    <cfRule type="expression" dxfId="653" priority="653">
      <formula>T45="Land"</formula>
    </cfRule>
    <cfRule type="expression" dxfId="652" priority="654">
      <formula>T45="Water"</formula>
    </cfRule>
  </conditionalFormatting>
  <conditionalFormatting sqref="AD45">
    <cfRule type="expression" dxfId="651" priority="649" stopIfTrue="1">
      <formula>AD35="Water"</formula>
    </cfRule>
    <cfRule type="expression" dxfId="650" priority="650" stopIfTrue="1">
      <formula>T45="Water"</formula>
    </cfRule>
    <cfRule type="expression" dxfId="649" priority="651" stopIfTrue="1">
      <formula>T45="Land"</formula>
    </cfRule>
    <cfRule type="expression" dxfId="648" priority="652" stopIfTrue="1">
      <formula>AD35="Land"</formula>
    </cfRule>
  </conditionalFormatting>
  <conditionalFormatting sqref="T34:AC34">
    <cfRule type="expression" dxfId="647" priority="647" stopIfTrue="1">
      <formula>T34="Water"</formula>
    </cfRule>
    <cfRule type="expression" dxfId="646" priority="648" stopIfTrue="1">
      <formula>T34="Land"</formula>
    </cfRule>
  </conditionalFormatting>
  <conditionalFormatting sqref="S45">
    <cfRule type="expression" dxfId="645" priority="643" stopIfTrue="1">
      <formula>S35="Water"</formula>
    </cfRule>
    <cfRule type="expression" dxfId="644" priority="644" stopIfTrue="1">
      <formula>T45="Water"</formula>
    </cfRule>
    <cfRule type="expression" dxfId="643" priority="645" stopIfTrue="1">
      <formula>T45="Land"</formula>
    </cfRule>
    <cfRule type="expression" dxfId="642" priority="646" stopIfTrue="1">
      <formula>S35="Land"</formula>
    </cfRule>
  </conditionalFormatting>
  <conditionalFormatting sqref="S35:S44">
    <cfRule type="expression" dxfId="641" priority="641" stopIfTrue="1">
      <formula>S35="Water"</formula>
    </cfRule>
    <cfRule type="expression" dxfId="640" priority="642" stopIfTrue="1">
      <formula>S35="Land"</formula>
    </cfRule>
  </conditionalFormatting>
  <conditionalFormatting sqref="AD35:AD44">
    <cfRule type="expression" dxfId="639" priority="639" stopIfTrue="1">
      <formula>AD35="Water"</formula>
    </cfRule>
    <cfRule type="expression" dxfId="638" priority="640" stopIfTrue="1">
      <formula>AD35="Land"</formula>
    </cfRule>
  </conditionalFormatting>
  <conditionalFormatting sqref="AD34">
    <cfRule type="expression" dxfId="637" priority="635" stopIfTrue="1">
      <formula>AD35="Water"</formula>
    </cfRule>
    <cfRule type="expression" dxfId="636" priority="636" stopIfTrue="1">
      <formula>T34="Water"</formula>
    </cfRule>
    <cfRule type="expression" dxfId="635" priority="637" stopIfTrue="1">
      <formula>T34="Land"</formula>
    </cfRule>
    <cfRule type="expression" dxfId="634" priority="638" stopIfTrue="1">
      <formula>AD35="Land"</formula>
    </cfRule>
  </conditionalFormatting>
  <conditionalFormatting sqref="S34">
    <cfRule type="expression" dxfId="633" priority="631" stopIfTrue="1">
      <formula>T34="Water"</formula>
    </cfRule>
    <cfRule type="expression" dxfId="632" priority="632" stopIfTrue="1">
      <formula>S35="Water"</formula>
    </cfRule>
    <cfRule type="expression" dxfId="631" priority="633" stopIfTrue="1">
      <formula>T34="Land"</formula>
    </cfRule>
    <cfRule type="expression" dxfId="630" priority="634" stopIfTrue="1">
      <formula>S35="Land"</formula>
    </cfRule>
  </conditionalFormatting>
  <conditionalFormatting sqref="U36:AB43">
    <cfRule type="expression" dxfId="629" priority="630">
      <formula>U36&lt;&gt;""</formula>
    </cfRule>
  </conditionalFormatting>
  <conditionalFormatting sqref="AH35:AO35">
    <cfRule type="expression" dxfId="628" priority="629">
      <formula>AH35="City Wall"</formula>
    </cfRule>
  </conditionalFormatting>
  <conditionalFormatting sqref="AH44:AO44">
    <cfRule type="expression" dxfId="627" priority="628">
      <formula>AH44="City Wall"</formula>
    </cfRule>
  </conditionalFormatting>
  <conditionalFormatting sqref="AG36:AG43">
    <cfRule type="expression" dxfId="626" priority="627">
      <formula>AG36="City Wall"</formula>
    </cfRule>
  </conditionalFormatting>
  <conditionalFormatting sqref="AP36:AP43">
    <cfRule type="expression" dxfId="625" priority="626">
      <formula>AP36="City Wall"</formula>
    </cfRule>
  </conditionalFormatting>
  <conditionalFormatting sqref="AG35">
    <cfRule type="expression" dxfId="624" priority="624">
      <formula>AG36="City Wall"</formula>
    </cfRule>
    <cfRule type="expression" dxfId="623" priority="625">
      <formula>AH35="City Wall"</formula>
    </cfRule>
  </conditionalFormatting>
  <conditionalFormatting sqref="AP35">
    <cfRule type="expression" dxfId="622" priority="622">
      <formula>AP36="City Wall"</formula>
    </cfRule>
    <cfRule type="expression" dxfId="621" priority="623">
      <formula>AH35="City Wall"</formula>
    </cfRule>
  </conditionalFormatting>
  <conditionalFormatting sqref="AP44">
    <cfRule type="expression" dxfId="620" priority="620">
      <formula>AH44="City Wall"</formula>
    </cfRule>
    <cfRule type="expression" dxfId="619" priority="621">
      <formula>AP36="City Wall"</formula>
    </cfRule>
  </conditionalFormatting>
  <conditionalFormatting sqref="AG44">
    <cfRule type="expression" dxfId="618" priority="618">
      <formula>AG36="City Wall"</formula>
    </cfRule>
    <cfRule type="expression" dxfId="617" priority="619">
      <formula>AH44="City Wall"</formula>
    </cfRule>
  </conditionalFormatting>
  <conditionalFormatting sqref="AG45:AP45">
    <cfRule type="expression" dxfId="616" priority="616">
      <formula>AG45="Land"</formula>
    </cfRule>
    <cfRule type="expression" dxfId="615" priority="617">
      <formula>AG45="Water"</formula>
    </cfRule>
  </conditionalFormatting>
  <conditionalFormatting sqref="AQ45">
    <cfRule type="expression" dxfId="614" priority="612" stopIfTrue="1">
      <formula>AQ35="Water"</formula>
    </cfRule>
    <cfRule type="expression" dxfId="613" priority="613" stopIfTrue="1">
      <formula>AG45="Water"</formula>
    </cfRule>
    <cfRule type="expression" dxfId="612" priority="614" stopIfTrue="1">
      <formula>AG45="Land"</formula>
    </cfRule>
    <cfRule type="expression" dxfId="611" priority="615" stopIfTrue="1">
      <formula>AQ35="Land"</formula>
    </cfRule>
  </conditionalFormatting>
  <conditionalFormatting sqref="AG34:AP34">
    <cfRule type="expression" dxfId="610" priority="610" stopIfTrue="1">
      <formula>AG34="Water"</formula>
    </cfRule>
    <cfRule type="expression" dxfId="609" priority="611" stopIfTrue="1">
      <formula>AG34="Land"</formula>
    </cfRule>
  </conditionalFormatting>
  <conditionalFormatting sqref="AF45">
    <cfRule type="expression" dxfId="608" priority="606" stopIfTrue="1">
      <formula>AF35="Water"</formula>
    </cfRule>
    <cfRule type="expression" dxfId="607" priority="607" stopIfTrue="1">
      <formula>AG45="Water"</formula>
    </cfRule>
    <cfRule type="expression" dxfId="606" priority="608" stopIfTrue="1">
      <formula>AG45="Land"</formula>
    </cfRule>
    <cfRule type="expression" dxfId="605" priority="609" stopIfTrue="1">
      <formula>AF35="Land"</formula>
    </cfRule>
  </conditionalFormatting>
  <conditionalFormatting sqref="AF35:AF44">
    <cfRule type="expression" dxfId="604" priority="604" stopIfTrue="1">
      <formula>AF35="Water"</formula>
    </cfRule>
    <cfRule type="expression" dxfId="603" priority="605" stopIfTrue="1">
      <formula>AF35="Land"</formula>
    </cfRule>
  </conditionalFormatting>
  <conditionalFormatting sqref="AQ35:AQ44">
    <cfRule type="expression" dxfId="602" priority="602" stopIfTrue="1">
      <formula>AQ35="Water"</formula>
    </cfRule>
    <cfRule type="expression" dxfId="601" priority="603" stopIfTrue="1">
      <formula>AQ35="Land"</formula>
    </cfRule>
  </conditionalFormatting>
  <conditionalFormatting sqref="AQ34">
    <cfRule type="expression" dxfId="600" priority="598" stopIfTrue="1">
      <formula>AQ35="Water"</formula>
    </cfRule>
    <cfRule type="expression" dxfId="599" priority="599" stopIfTrue="1">
      <formula>AG34="Water"</formula>
    </cfRule>
    <cfRule type="expression" dxfId="598" priority="600" stopIfTrue="1">
      <formula>AG34="Land"</formula>
    </cfRule>
    <cfRule type="expression" dxfId="597" priority="601" stopIfTrue="1">
      <formula>AQ35="Land"</formula>
    </cfRule>
  </conditionalFormatting>
  <conditionalFormatting sqref="AF34">
    <cfRule type="expression" dxfId="596" priority="594" stopIfTrue="1">
      <formula>AG34="Water"</formula>
    </cfRule>
    <cfRule type="expression" dxfId="595" priority="595" stopIfTrue="1">
      <formula>AF35="Water"</formula>
    </cfRule>
    <cfRule type="expression" dxfId="594" priority="596" stopIfTrue="1">
      <formula>AG34="Land"</formula>
    </cfRule>
    <cfRule type="expression" dxfId="593" priority="597" stopIfTrue="1">
      <formula>AF35="Land"</formula>
    </cfRule>
  </conditionalFormatting>
  <conditionalFormatting sqref="AH36:AO43">
    <cfRule type="expression" dxfId="592" priority="593">
      <formula>AH36&lt;&gt;""</formula>
    </cfRule>
  </conditionalFormatting>
  <conditionalFormatting sqref="H48:O48">
    <cfRule type="expression" dxfId="591" priority="592">
      <formula>H48="City Wall"</formula>
    </cfRule>
  </conditionalFormatting>
  <conditionalFormatting sqref="H57:O57">
    <cfRule type="expression" dxfId="590" priority="591">
      <formula>H57="City Wall"</formula>
    </cfRule>
  </conditionalFormatting>
  <conditionalFormatting sqref="G49:G56">
    <cfRule type="expression" dxfId="589" priority="590">
      <formula>G49="City Wall"</formula>
    </cfRule>
  </conditionalFormatting>
  <conditionalFormatting sqref="P49:P56">
    <cfRule type="expression" dxfId="588" priority="589">
      <formula>P49="City Wall"</formula>
    </cfRule>
  </conditionalFormatting>
  <conditionalFormatting sqref="G48">
    <cfRule type="expression" dxfId="587" priority="587">
      <formula>G49="City Wall"</formula>
    </cfRule>
    <cfRule type="expression" dxfId="586" priority="588">
      <formula>H48="City Wall"</formula>
    </cfRule>
  </conditionalFormatting>
  <conditionalFormatting sqref="P48">
    <cfRule type="expression" dxfId="585" priority="585">
      <formula>P49="City Wall"</formula>
    </cfRule>
    <cfRule type="expression" dxfId="584" priority="586">
      <formula>H48="City Wall"</formula>
    </cfRule>
  </conditionalFormatting>
  <conditionalFormatting sqref="P57">
    <cfRule type="expression" dxfId="583" priority="583">
      <formula>H57="City Wall"</formula>
    </cfRule>
    <cfRule type="expression" dxfId="582" priority="584">
      <formula>P49="City Wall"</formula>
    </cfRule>
  </conditionalFormatting>
  <conditionalFormatting sqref="G57">
    <cfRule type="expression" dxfId="581" priority="581">
      <formula>G49="City Wall"</formula>
    </cfRule>
    <cfRule type="expression" dxfId="580" priority="582">
      <formula>H57="City Wall"</formula>
    </cfRule>
  </conditionalFormatting>
  <conditionalFormatting sqref="G58:P58">
    <cfRule type="expression" dxfId="579" priority="579">
      <formula>G58="Land"</formula>
    </cfRule>
    <cfRule type="expression" dxfId="578" priority="580">
      <formula>G58="Water"</formula>
    </cfRule>
  </conditionalFormatting>
  <conditionalFormatting sqref="Q58">
    <cfRule type="expression" dxfId="577" priority="575" stopIfTrue="1">
      <formula>Q48="Water"</formula>
    </cfRule>
    <cfRule type="expression" dxfId="576" priority="576" stopIfTrue="1">
      <formula>G58="Water"</formula>
    </cfRule>
    <cfRule type="expression" dxfId="575" priority="577" stopIfTrue="1">
      <formula>G58="Land"</formula>
    </cfRule>
    <cfRule type="expression" dxfId="574" priority="578" stopIfTrue="1">
      <formula>Q48="Land"</formula>
    </cfRule>
  </conditionalFormatting>
  <conditionalFormatting sqref="G47:P47">
    <cfRule type="expression" dxfId="573" priority="573" stopIfTrue="1">
      <formula>G47="Water"</formula>
    </cfRule>
    <cfRule type="expression" dxfId="572" priority="574" stopIfTrue="1">
      <formula>G47="Land"</formula>
    </cfRule>
  </conditionalFormatting>
  <conditionalFormatting sqref="F58">
    <cfRule type="expression" dxfId="571" priority="569" stopIfTrue="1">
      <formula>F48="Water"</formula>
    </cfRule>
    <cfRule type="expression" dxfId="570" priority="570" stopIfTrue="1">
      <formula>G58="Water"</formula>
    </cfRule>
    <cfRule type="expression" dxfId="569" priority="571" stopIfTrue="1">
      <formula>G58="Land"</formula>
    </cfRule>
    <cfRule type="expression" dxfId="568" priority="572" stopIfTrue="1">
      <formula>F48="Land"</formula>
    </cfRule>
  </conditionalFormatting>
  <conditionalFormatting sqref="F48:F57">
    <cfRule type="expression" dxfId="567" priority="567" stopIfTrue="1">
      <formula>F48="Water"</formula>
    </cfRule>
    <cfRule type="expression" dxfId="566" priority="568" stopIfTrue="1">
      <formula>F48="Land"</formula>
    </cfRule>
  </conditionalFormatting>
  <conditionalFormatting sqref="Q48:Q57">
    <cfRule type="expression" dxfId="565" priority="565" stopIfTrue="1">
      <formula>Q48="Water"</formula>
    </cfRule>
    <cfRule type="expression" dxfId="564" priority="566" stopIfTrue="1">
      <formula>Q48="Land"</formula>
    </cfRule>
  </conditionalFormatting>
  <conditionalFormatting sqref="Q47">
    <cfRule type="expression" dxfId="563" priority="561" stopIfTrue="1">
      <formula>Q48="Water"</formula>
    </cfRule>
    <cfRule type="expression" dxfId="562" priority="562" stopIfTrue="1">
      <formula>G47="Water"</formula>
    </cfRule>
    <cfRule type="expression" dxfId="561" priority="563" stopIfTrue="1">
      <formula>G47="Land"</formula>
    </cfRule>
    <cfRule type="expression" dxfId="560" priority="564" stopIfTrue="1">
      <formula>Q48="Land"</formula>
    </cfRule>
  </conditionalFormatting>
  <conditionalFormatting sqref="F47">
    <cfRule type="expression" dxfId="559" priority="557" stopIfTrue="1">
      <formula>G47="Water"</formula>
    </cfRule>
    <cfRule type="expression" dxfId="558" priority="558" stopIfTrue="1">
      <formula>F48="Water"</formula>
    </cfRule>
    <cfRule type="expression" dxfId="557" priority="559" stopIfTrue="1">
      <formula>G47="Land"</formula>
    </cfRule>
    <cfRule type="expression" dxfId="556" priority="560" stopIfTrue="1">
      <formula>F48="Land"</formula>
    </cfRule>
  </conditionalFormatting>
  <conditionalFormatting sqref="H49:O56">
    <cfRule type="expression" dxfId="555" priority="556">
      <formula>H49&lt;&gt;""</formula>
    </cfRule>
  </conditionalFormatting>
  <conditionalFormatting sqref="U48:AB48">
    <cfRule type="expression" dxfId="554" priority="555">
      <formula>U48="City Wall"</formula>
    </cfRule>
  </conditionalFormatting>
  <conditionalFormatting sqref="U57:AB57">
    <cfRule type="expression" dxfId="553" priority="554">
      <formula>U57="City Wall"</formula>
    </cfRule>
  </conditionalFormatting>
  <conditionalFormatting sqref="T49:T56">
    <cfRule type="expression" dxfId="552" priority="553">
      <formula>T49="City Wall"</formula>
    </cfRule>
  </conditionalFormatting>
  <conditionalFormatting sqref="AC49:AC56">
    <cfRule type="expression" dxfId="551" priority="552">
      <formula>AC49="City Wall"</formula>
    </cfRule>
  </conditionalFormatting>
  <conditionalFormatting sqref="T48">
    <cfRule type="expression" dxfId="550" priority="550">
      <formula>T49="City Wall"</formula>
    </cfRule>
    <cfRule type="expression" dxfId="549" priority="551">
      <formula>U48="City Wall"</formula>
    </cfRule>
  </conditionalFormatting>
  <conditionalFormatting sqref="AC48">
    <cfRule type="expression" dxfId="548" priority="548">
      <formula>AC49="City Wall"</formula>
    </cfRule>
    <cfRule type="expression" dxfId="547" priority="549">
      <formula>U48="City Wall"</formula>
    </cfRule>
  </conditionalFormatting>
  <conditionalFormatting sqref="AC57">
    <cfRule type="expression" dxfId="546" priority="546">
      <formula>U57="City Wall"</formula>
    </cfRule>
    <cfRule type="expression" dxfId="545" priority="547">
      <formula>AC49="City Wall"</formula>
    </cfRule>
  </conditionalFormatting>
  <conditionalFormatting sqref="T57">
    <cfRule type="expression" dxfId="544" priority="544">
      <formula>T49="City Wall"</formula>
    </cfRule>
    <cfRule type="expression" dxfId="543" priority="545">
      <formula>U57="City Wall"</formula>
    </cfRule>
  </conditionalFormatting>
  <conditionalFormatting sqref="T58:AC58">
    <cfRule type="expression" dxfId="542" priority="542">
      <formula>T58="Land"</formula>
    </cfRule>
    <cfRule type="expression" dxfId="541" priority="543">
      <formula>T58="Water"</formula>
    </cfRule>
  </conditionalFormatting>
  <conditionalFormatting sqref="AD58">
    <cfRule type="expression" dxfId="540" priority="538" stopIfTrue="1">
      <formula>AD48="Water"</formula>
    </cfRule>
    <cfRule type="expression" dxfId="539" priority="539" stopIfTrue="1">
      <formula>T58="Water"</formula>
    </cfRule>
    <cfRule type="expression" dxfId="538" priority="540" stopIfTrue="1">
      <formula>T58="Land"</formula>
    </cfRule>
    <cfRule type="expression" dxfId="537" priority="541" stopIfTrue="1">
      <formula>AD48="Land"</formula>
    </cfRule>
  </conditionalFormatting>
  <conditionalFormatting sqref="T47:AC47">
    <cfRule type="expression" dxfId="536" priority="536" stopIfTrue="1">
      <formula>T47="Water"</formula>
    </cfRule>
    <cfRule type="expression" dxfId="535" priority="537" stopIfTrue="1">
      <formula>T47="Land"</formula>
    </cfRule>
  </conditionalFormatting>
  <conditionalFormatting sqref="S58">
    <cfRule type="expression" dxfId="534" priority="532" stopIfTrue="1">
      <formula>S48="Water"</formula>
    </cfRule>
    <cfRule type="expression" dxfId="533" priority="533" stopIfTrue="1">
      <formula>T58="Water"</formula>
    </cfRule>
    <cfRule type="expression" dxfId="532" priority="534" stopIfTrue="1">
      <formula>T58="Land"</formula>
    </cfRule>
    <cfRule type="expression" dxfId="531" priority="535" stopIfTrue="1">
      <formula>S48="Land"</formula>
    </cfRule>
  </conditionalFormatting>
  <conditionalFormatting sqref="S48:S57">
    <cfRule type="expression" dxfId="530" priority="530" stopIfTrue="1">
      <formula>S48="Water"</formula>
    </cfRule>
    <cfRule type="expression" dxfId="529" priority="531" stopIfTrue="1">
      <formula>S48="Land"</formula>
    </cfRule>
  </conditionalFormatting>
  <conditionalFormatting sqref="AD48:AD57">
    <cfRule type="expression" dxfId="528" priority="528" stopIfTrue="1">
      <formula>AD48="Water"</formula>
    </cfRule>
    <cfRule type="expression" dxfId="527" priority="529" stopIfTrue="1">
      <formula>AD48="Land"</formula>
    </cfRule>
  </conditionalFormatting>
  <conditionalFormatting sqref="AD47">
    <cfRule type="expression" dxfId="526" priority="524" stopIfTrue="1">
      <formula>AD48="Water"</formula>
    </cfRule>
    <cfRule type="expression" dxfId="525" priority="525" stopIfTrue="1">
      <formula>T47="Water"</formula>
    </cfRule>
    <cfRule type="expression" dxfId="524" priority="526" stopIfTrue="1">
      <formula>T47="Land"</formula>
    </cfRule>
    <cfRule type="expression" dxfId="523" priority="527" stopIfTrue="1">
      <formula>AD48="Land"</formula>
    </cfRule>
  </conditionalFormatting>
  <conditionalFormatting sqref="S47">
    <cfRule type="expression" dxfId="522" priority="520" stopIfTrue="1">
      <formula>T47="Water"</formula>
    </cfRule>
    <cfRule type="expression" dxfId="521" priority="521" stopIfTrue="1">
      <formula>S48="Water"</formula>
    </cfRule>
    <cfRule type="expression" dxfId="520" priority="522" stopIfTrue="1">
      <formula>T47="Land"</formula>
    </cfRule>
    <cfRule type="expression" dxfId="519" priority="523" stopIfTrue="1">
      <formula>S48="Land"</formula>
    </cfRule>
  </conditionalFormatting>
  <conditionalFormatting sqref="U49:AB56">
    <cfRule type="expression" dxfId="518" priority="519">
      <formula>U49&lt;&gt;""</formula>
    </cfRule>
  </conditionalFormatting>
  <conditionalFormatting sqref="AH48:AO48">
    <cfRule type="expression" dxfId="517" priority="518">
      <formula>AH48="City Wall"</formula>
    </cfRule>
  </conditionalFormatting>
  <conditionalFormatting sqref="AH57:AO57">
    <cfRule type="expression" dxfId="516" priority="517">
      <formula>AH57="City Wall"</formula>
    </cfRule>
  </conditionalFormatting>
  <conditionalFormatting sqref="AG49:AG56">
    <cfRule type="expression" dxfId="515" priority="516">
      <formula>AG49="City Wall"</formula>
    </cfRule>
  </conditionalFormatting>
  <conditionalFormatting sqref="AP49:AP56">
    <cfRule type="expression" dxfId="514" priority="515">
      <formula>AP49="City Wall"</formula>
    </cfRule>
  </conditionalFormatting>
  <conditionalFormatting sqref="AG48">
    <cfRule type="expression" dxfId="513" priority="513">
      <formula>AG49="City Wall"</formula>
    </cfRule>
    <cfRule type="expression" dxfId="512" priority="514">
      <formula>AH48="City Wall"</formula>
    </cfRule>
  </conditionalFormatting>
  <conditionalFormatting sqref="AP48">
    <cfRule type="expression" dxfId="511" priority="511">
      <formula>AP49="City Wall"</formula>
    </cfRule>
    <cfRule type="expression" dxfId="510" priority="512">
      <formula>AH48="City Wall"</formula>
    </cfRule>
  </conditionalFormatting>
  <conditionalFormatting sqref="AP57">
    <cfRule type="expression" dxfId="509" priority="509">
      <formula>AH57="City Wall"</formula>
    </cfRule>
    <cfRule type="expression" dxfId="508" priority="510">
      <formula>AP49="City Wall"</formula>
    </cfRule>
  </conditionalFormatting>
  <conditionalFormatting sqref="AG57">
    <cfRule type="expression" dxfId="507" priority="507">
      <formula>AG49="City Wall"</formula>
    </cfRule>
    <cfRule type="expression" dxfId="506" priority="508">
      <formula>AH57="City Wall"</formula>
    </cfRule>
  </conditionalFormatting>
  <conditionalFormatting sqref="AG58:AP58">
    <cfRule type="expression" dxfId="505" priority="505">
      <formula>AG58="Land"</formula>
    </cfRule>
    <cfRule type="expression" dxfId="504" priority="506">
      <formula>AG58="Water"</formula>
    </cfRule>
  </conditionalFormatting>
  <conditionalFormatting sqref="AQ58">
    <cfRule type="expression" dxfId="503" priority="501" stopIfTrue="1">
      <formula>AQ48="Water"</formula>
    </cfRule>
    <cfRule type="expression" dxfId="502" priority="502" stopIfTrue="1">
      <formula>AG58="Water"</formula>
    </cfRule>
    <cfRule type="expression" dxfId="501" priority="503" stopIfTrue="1">
      <formula>AG58="Land"</formula>
    </cfRule>
    <cfRule type="expression" dxfId="500" priority="504" stopIfTrue="1">
      <formula>AQ48="Land"</formula>
    </cfRule>
  </conditionalFormatting>
  <conditionalFormatting sqref="AG47:AP47">
    <cfRule type="expression" dxfId="499" priority="499" stopIfTrue="1">
      <formula>AG47="Water"</formula>
    </cfRule>
    <cfRule type="expression" dxfId="498" priority="500" stopIfTrue="1">
      <formula>AG47="Land"</formula>
    </cfRule>
  </conditionalFormatting>
  <conditionalFormatting sqref="AF58">
    <cfRule type="expression" dxfId="497" priority="495" stopIfTrue="1">
      <formula>AF48="Water"</formula>
    </cfRule>
    <cfRule type="expression" dxfId="496" priority="496" stopIfTrue="1">
      <formula>AG58="Water"</formula>
    </cfRule>
    <cfRule type="expression" dxfId="495" priority="497" stopIfTrue="1">
      <formula>AG58="Land"</formula>
    </cfRule>
    <cfRule type="expression" dxfId="494" priority="498" stopIfTrue="1">
      <formula>AF48="Land"</formula>
    </cfRule>
  </conditionalFormatting>
  <conditionalFormatting sqref="AF48:AF57">
    <cfRule type="expression" dxfId="493" priority="493" stopIfTrue="1">
      <formula>AF48="Water"</formula>
    </cfRule>
    <cfRule type="expression" dxfId="492" priority="494" stopIfTrue="1">
      <formula>AF48="Land"</formula>
    </cfRule>
  </conditionalFormatting>
  <conditionalFormatting sqref="AQ48:AQ57">
    <cfRule type="expression" dxfId="491" priority="491" stopIfTrue="1">
      <formula>AQ48="Water"</formula>
    </cfRule>
    <cfRule type="expression" dxfId="490" priority="492" stopIfTrue="1">
      <formula>AQ48="Land"</formula>
    </cfRule>
  </conditionalFormatting>
  <conditionalFormatting sqref="AQ47">
    <cfRule type="expression" dxfId="489" priority="487" stopIfTrue="1">
      <formula>AQ48="Water"</formula>
    </cfRule>
    <cfRule type="expression" dxfId="488" priority="488" stopIfTrue="1">
      <formula>AG47="Water"</formula>
    </cfRule>
    <cfRule type="expression" dxfId="487" priority="489" stopIfTrue="1">
      <formula>AG47="Land"</formula>
    </cfRule>
    <cfRule type="expression" dxfId="486" priority="490" stopIfTrue="1">
      <formula>AQ48="Land"</formula>
    </cfRule>
  </conditionalFormatting>
  <conditionalFormatting sqref="AF47">
    <cfRule type="expression" dxfId="485" priority="483" stopIfTrue="1">
      <formula>AG47="Water"</formula>
    </cfRule>
    <cfRule type="expression" dxfId="484" priority="484" stopIfTrue="1">
      <formula>AF48="Water"</formula>
    </cfRule>
    <cfRule type="expression" dxfId="483" priority="485" stopIfTrue="1">
      <formula>AG47="Land"</formula>
    </cfRule>
    <cfRule type="expression" dxfId="482" priority="486" stopIfTrue="1">
      <formula>AF48="Land"</formula>
    </cfRule>
  </conditionalFormatting>
  <conditionalFormatting sqref="AH49:AO56">
    <cfRule type="expression" dxfId="481" priority="482">
      <formula>AH49&lt;&gt;""</formula>
    </cfRule>
  </conditionalFormatting>
  <conditionalFormatting sqref="AU9:BB9">
    <cfRule type="expression" dxfId="480" priority="481">
      <formula>AU9="City Wall"</formula>
    </cfRule>
  </conditionalFormatting>
  <conditionalFormatting sqref="AU18:BB18">
    <cfRule type="expression" dxfId="479" priority="480">
      <formula>AU18="City Wall"</formula>
    </cfRule>
  </conditionalFormatting>
  <conditionalFormatting sqref="AT10:AT17">
    <cfRule type="expression" dxfId="478" priority="479">
      <formula>AT10="City Wall"</formula>
    </cfRule>
  </conditionalFormatting>
  <conditionalFormatting sqref="BC10:BC17">
    <cfRule type="expression" dxfId="477" priority="478">
      <formula>BC10="City Wall"</formula>
    </cfRule>
  </conditionalFormatting>
  <conditionalFormatting sqref="AT9">
    <cfRule type="expression" dxfId="476" priority="476">
      <formula>AT10="City Wall"</formula>
    </cfRule>
    <cfRule type="expression" dxfId="475" priority="477">
      <formula>AU9="City Wall"</formula>
    </cfRule>
  </conditionalFormatting>
  <conditionalFormatting sqref="BC9">
    <cfRule type="expression" dxfId="474" priority="474">
      <formula>BC10="City Wall"</formula>
    </cfRule>
    <cfRule type="expression" dxfId="473" priority="475">
      <formula>AU9="City Wall"</formula>
    </cfRule>
  </conditionalFormatting>
  <conditionalFormatting sqref="BC18">
    <cfRule type="expression" dxfId="472" priority="472">
      <formula>AU18="City Wall"</formula>
    </cfRule>
    <cfRule type="expression" dxfId="471" priority="473">
      <formula>BC10="City Wall"</formula>
    </cfRule>
  </conditionalFormatting>
  <conditionalFormatting sqref="AT18">
    <cfRule type="expression" dxfId="470" priority="470">
      <formula>AT10="City Wall"</formula>
    </cfRule>
    <cfRule type="expression" dxfId="469" priority="471">
      <formula>AU18="City Wall"</formula>
    </cfRule>
  </conditionalFormatting>
  <conditionalFormatting sqref="AT19:BC19">
    <cfRule type="expression" dxfId="468" priority="468">
      <formula>AT19="Land"</formula>
    </cfRule>
    <cfRule type="expression" dxfId="467" priority="469">
      <formula>AT19="Water"</formula>
    </cfRule>
  </conditionalFormatting>
  <conditionalFormatting sqref="BD19">
    <cfRule type="expression" dxfId="466" priority="464" stopIfTrue="1">
      <formula>BD9="Water"</formula>
    </cfRule>
    <cfRule type="expression" dxfId="465" priority="465" stopIfTrue="1">
      <formula>AT19="Water"</formula>
    </cfRule>
    <cfRule type="expression" dxfId="464" priority="466" stopIfTrue="1">
      <formula>AT19="Land"</formula>
    </cfRule>
    <cfRule type="expression" dxfId="463" priority="467" stopIfTrue="1">
      <formula>BD9="Land"</formula>
    </cfRule>
  </conditionalFormatting>
  <conditionalFormatting sqref="AT8:BC8">
    <cfRule type="expression" dxfId="462" priority="462" stopIfTrue="1">
      <formula>AT8="Water"</formula>
    </cfRule>
    <cfRule type="expression" dxfId="461" priority="463" stopIfTrue="1">
      <formula>AT8="Land"</formula>
    </cfRule>
  </conditionalFormatting>
  <conditionalFormatting sqref="AS19">
    <cfRule type="expression" dxfId="460" priority="458" stopIfTrue="1">
      <formula>AS9="Water"</formula>
    </cfRule>
    <cfRule type="expression" dxfId="459" priority="459" stopIfTrue="1">
      <formula>AT19="Water"</formula>
    </cfRule>
    <cfRule type="expression" dxfId="458" priority="460" stopIfTrue="1">
      <formula>AT19="Land"</formula>
    </cfRule>
    <cfRule type="expression" dxfId="457" priority="461" stopIfTrue="1">
      <formula>AS9="Land"</formula>
    </cfRule>
  </conditionalFormatting>
  <conditionalFormatting sqref="AS9:AS18">
    <cfRule type="expression" dxfId="456" priority="456" stopIfTrue="1">
      <formula>AS9="Water"</formula>
    </cfRule>
    <cfRule type="expression" dxfId="455" priority="457" stopIfTrue="1">
      <formula>AS9="Land"</formula>
    </cfRule>
  </conditionalFormatting>
  <conditionalFormatting sqref="BD9:BD18">
    <cfRule type="expression" dxfId="454" priority="454" stopIfTrue="1">
      <formula>BD9="Water"</formula>
    </cfRule>
    <cfRule type="expression" dxfId="453" priority="455" stopIfTrue="1">
      <formula>BD9="Land"</formula>
    </cfRule>
  </conditionalFormatting>
  <conditionalFormatting sqref="BD8">
    <cfRule type="expression" dxfId="452" priority="450" stopIfTrue="1">
      <formula>BD9="Water"</formula>
    </cfRule>
    <cfRule type="expression" dxfId="451" priority="451" stopIfTrue="1">
      <formula>AT8="Water"</formula>
    </cfRule>
    <cfRule type="expression" dxfId="450" priority="452" stopIfTrue="1">
      <formula>AT8="Land"</formula>
    </cfRule>
    <cfRule type="expression" dxfId="449" priority="453" stopIfTrue="1">
      <formula>BD9="Land"</formula>
    </cfRule>
  </conditionalFormatting>
  <conditionalFormatting sqref="AS8">
    <cfRule type="expression" dxfId="448" priority="446" stopIfTrue="1">
      <formula>AT8="Water"</formula>
    </cfRule>
    <cfRule type="expression" dxfId="447" priority="447" stopIfTrue="1">
      <formula>AS9="Water"</formula>
    </cfRule>
    <cfRule type="expression" dxfId="446" priority="448" stopIfTrue="1">
      <formula>AT8="Land"</formula>
    </cfRule>
    <cfRule type="expression" dxfId="445" priority="449" stopIfTrue="1">
      <formula>AS9="Land"</formula>
    </cfRule>
  </conditionalFormatting>
  <conditionalFormatting sqref="AU10:BB17">
    <cfRule type="expression" dxfId="444" priority="445">
      <formula>AU10&lt;&gt;""</formula>
    </cfRule>
  </conditionalFormatting>
  <conditionalFormatting sqref="AU22:BB22">
    <cfRule type="expression" dxfId="443" priority="444">
      <formula>AU22="City Wall"</formula>
    </cfRule>
  </conditionalFormatting>
  <conditionalFormatting sqref="AU31:BB31">
    <cfRule type="expression" dxfId="442" priority="443">
      <formula>AU31="City Wall"</formula>
    </cfRule>
  </conditionalFormatting>
  <conditionalFormatting sqref="AT23:AT30">
    <cfRule type="expression" dxfId="441" priority="442">
      <formula>AT23="City Wall"</formula>
    </cfRule>
  </conditionalFormatting>
  <conditionalFormatting sqref="BC23:BC30">
    <cfRule type="expression" dxfId="440" priority="441">
      <formula>BC23="City Wall"</formula>
    </cfRule>
  </conditionalFormatting>
  <conditionalFormatting sqref="AT22">
    <cfRule type="expression" dxfId="439" priority="439">
      <formula>AT23="City Wall"</formula>
    </cfRule>
    <cfRule type="expression" dxfId="438" priority="440">
      <formula>AU22="City Wall"</formula>
    </cfRule>
  </conditionalFormatting>
  <conditionalFormatting sqref="BC22">
    <cfRule type="expression" dxfId="437" priority="437">
      <formula>BC23="City Wall"</formula>
    </cfRule>
    <cfRule type="expression" dxfId="436" priority="438">
      <formula>AU22="City Wall"</formula>
    </cfRule>
  </conditionalFormatting>
  <conditionalFormatting sqref="BC31">
    <cfRule type="expression" dxfId="435" priority="435">
      <formula>AU31="City Wall"</formula>
    </cfRule>
    <cfRule type="expression" dxfId="434" priority="436">
      <formula>BC23="City Wall"</formula>
    </cfRule>
  </conditionalFormatting>
  <conditionalFormatting sqref="AT31">
    <cfRule type="expression" dxfId="433" priority="433">
      <formula>AT23="City Wall"</formula>
    </cfRule>
    <cfRule type="expression" dxfId="432" priority="434">
      <formula>AU31="City Wall"</formula>
    </cfRule>
  </conditionalFormatting>
  <conditionalFormatting sqref="AT32:BC32">
    <cfRule type="expression" dxfId="431" priority="431">
      <formula>AT32="Land"</formula>
    </cfRule>
    <cfRule type="expression" dxfId="430" priority="432">
      <formula>AT32="Water"</formula>
    </cfRule>
  </conditionalFormatting>
  <conditionalFormatting sqref="BD32">
    <cfRule type="expression" dxfId="429" priority="427" stopIfTrue="1">
      <formula>BD22="Water"</formula>
    </cfRule>
    <cfRule type="expression" dxfId="428" priority="428" stopIfTrue="1">
      <formula>AT32="Water"</formula>
    </cfRule>
    <cfRule type="expression" dxfId="427" priority="429" stopIfTrue="1">
      <formula>AT32="Land"</formula>
    </cfRule>
    <cfRule type="expression" dxfId="426" priority="430" stopIfTrue="1">
      <formula>BD22="Land"</formula>
    </cfRule>
  </conditionalFormatting>
  <conditionalFormatting sqref="AT21:BC21">
    <cfRule type="expression" dxfId="425" priority="425" stopIfTrue="1">
      <formula>AT21="Water"</formula>
    </cfRule>
    <cfRule type="expression" dxfId="424" priority="426" stopIfTrue="1">
      <formula>AT21="Land"</formula>
    </cfRule>
  </conditionalFormatting>
  <conditionalFormatting sqref="AS32">
    <cfRule type="expression" dxfId="423" priority="421" stopIfTrue="1">
      <formula>AS22="Water"</formula>
    </cfRule>
    <cfRule type="expression" dxfId="422" priority="422" stopIfTrue="1">
      <formula>AT32="Water"</formula>
    </cfRule>
    <cfRule type="expression" dxfId="421" priority="423" stopIfTrue="1">
      <formula>AT32="Land"</formula>
    </cfRule>
    <cfRule type="expression" dxfId="420" priority="424" stopIfTrue="1">
      <formula>AS22="Land"</formula>
    </cfRule>
  </conditionalFormatting>
  <conditionalFormatting sqref="AS22:AS31">
    <cfRule type="expression" dxfId="419" priority="419" stopIfTrue="1">
      <formula>AS22="Water"</formula>
    </cfRule>
    <cfRule type="expression" dxfId="418" priority="420" stopIfTrue="1">
      <formula>AS22="Land"</formula>
    </cfRule>
  </conditionalFormatting>
  <conditionalFormatting sqref="BD22:BD31">
    <cfRule type="expression" dxfId="417" priority="417" stopIfTrue="1">
      <formula>BD22="Water"</formula>
    </cfRule>
    <cfRule type="expression" dxfId="416" priority="418" stopIfTrue="1">
      <formula>BD22="Land"</formula>
    </cfRule>
  </conditionalFormatting>
  <conditionalFormatting sqref="BD21">
    <cfRule type="expression" dxfId="415" priority="413" stopIfTrue="1">
      <formula>BD22="Water"</formula>
    </cfRule>
    <cfRule type="expression" dxfId="414" priority="414" stopIfTrue="1">
      <formula>AT21="Water"</formula>
    </cfRule>
    <cfRule type="expression" dxfId="413" priority="415" stopIfTrue="1">
      <formula>AT21="Land"</formula>
    </cfRule>
    <cfRule type="expression" dxfId="412" priority="416" stopIfTrue="1">
      <formula>BD22="Land"</formula>
    </cfRule>
  </conditionalFormatting>
  <conditionalFormatting sqref="AS21">
    <cfRule type="expression" dxfId="411" priority="409" stopIfTrue="1">
      <formula>AT21="Water"</formula>
    </cfRule>
    <cfRule type="expression" dxfId="410" priority="410" stopIfTrue="1">
      <formula>AS22="Water"</formula>
    </cfRule>
    <cfRule type="expression" dxfId="409" priority="411" stopIfTrue="1">
      <formula>AT21="Land"</formula>
    </cfRule>
    <cfRule type="expression" dxfId="408" priority="412" stopIfTrue="1">
      <formula>AS22="Land"</formula>
    </cfRule>
  </conditionalFormatting>
  <conditionalFormatting sqref="AU23:BB30">
    <cfRule type="expression" dxfId="407" priority="408">
      <formula>AU23&lt;&gt;""</formula>
    </cfRule>
  </conditionalFormatting>
  <conditionalFormatting sqref="AU35:BB35">
    <cfRule type="expression" dxfId="406" priority="407">
      <formula>AU35="City Wall"</formula>
    </cfRule>
  </conditionalFormatting>
  <conditionalFormatting sqref="AU44:BB44">
    <cfRule type="expression" dxfId="405" priority="406">
      <formula>AU44="City Wall"</formula>
    </cfRule>
  </conditionalFormatting>
  <conditionalFormatting sqref="AT36:AT43">
    <cfRule type="expression" dxfId="404" priority="405">
      <formula>AT36="City Wall"</formula>
    </cfRule>
  </conditionalFormatting>
  <conditionalFormatting sqref="BC36:BC43">
    <cfRule type="expression" dxfId="403" priority="404">
      <formula>BC36="City Wall"</formula>
    </cfRule>
  </conditionalFormatting>
  <conditionalFormatting sqref="AT35">
    <cfRule type="expression" dxfId="402" priority="402">
      <formula>AT36="City Wall"</formula>
    </cfRule>
    <cfRule type="expression" dxfId="401" priority="403">
      <formula>AU35="City Wall"</formula>
    </cfRule>
  </conditionalFormatting>
  <conditionalFormatting sqref="BC35">
    <cfRule type="expression" dxfId="400" priority="400">
      <formula>BC36="City Wall"</formula>
    </cfRule>
    <cfRule type="expression" dxfId="399" priority="401">
      <formula>AU35="City Wall"</formula>
    </cfRule>
  </conditionalFormatting>
  <conditionalFormatting sqref="BC44">
    <cfRule type="expression" dxfId="398" priority="398">
      <formula>AU44="City Wall"</formula>
    </cfRule>
    <cfRule type="expression" dxfId="397" priority="399">
      <formula>BC36="City Wall"</formula>
    </cfRule>
  </conditionalFormatting>
  <conditionalFormatting sqref="AT44">
    <cfRule type="expression" dxfId="396" priority="396">
      <formula>AT36="City Wall"</formula>
    </cfRule>
    <cfRule type="expression" dxfId="395" priority="397">
      <formula>AU44="City Wall"</formula>
    </cfRule>
  </conditionalFormatting>
  <conditionalFormatting sqref="AT45:BC45">
    <cfRule type="expression" dxfId="394" priority="394">
      <formula>AT45="Land"</formula>
    </cfRule>
    <cfRule type="expression" dxfId="393" priority="395">
      <formula>AT45="Water"</formula>
    </cfRule>
  </conditionalFormatting>
  <conditionalFormatting sqref="BD45">
    <cfRule type="expression" dxfId="392" priority="390" stopIfTrue="1">
      <formula>BD35="Water"</formula>
    </cfRule>
    <cfRule type="expression" dxfId="391" priority="391" stopIfTrue="1">
      <formula>AT45="Water"</formula>
    </cfRule>
    <cfRule type="expression" dxfId="390" priority="392" stopIfTrue="1">
      <formula>AT45="Land"</formula>
    </cfRule>
    <cfRule type="expression" dxfId="389" priority="393" stopIfTrue="1">
      <formula>BD35="Land"</formula>
    </cfRule>
  </conditionalFormatting>
  <conditionalFormatting sqref="AT34:BC34">
    <cfRule type="expression" dxfId="388" priority="388" stopIfTrue="1">
      <formula>AT34="Water"</formula>
    </cfRule>
    <cfRule type="expression" dxfId="387" priority="389" stopIfTrue="1">
      <formula>AT34="Land"</formula>
    </cfRule>
  </conditionalFormatting>
  <conditionalFormatting sqref="AS45">
    <cfRule type="expression" dxfId="386" priority="384" stopIfTrue="1">
      <formula>AS35="Water"</formula>
    </cfRule>
    <cfRule type="expression" dxfId="385" priority="385" stopIfTrue="1">
      <formula>AT45="Water"</formula>
    </cfRule>
    <cfRule type="expression" dxfId="384" priority="386" stopIfTrue="1">
      <formula>AT45="Land"</formula>
    </cfRule>
    <cfRule type="expression" dxfId="383" priority="387" stopIfTrue="1">
      <formula>AS35="Land"</formula>
    </cfRule>
  </conditionalFormatting>
  <conditionalFormatting sqref="AS35:AS44">
    <cfRule type="expression" dxfId="382" priority="382" stopIfTrue="1">
      <formula>AS35="Water"</formula>
    </cfRule>
    <cfRule type="expression" dxfId="381" priority="383" stopIfTrue="1">
      <formula>AS35="Land"</formula>
    </cfRule>
  </conditionalFormatting>
  <conditionalFormatting sqref="BD35:BD44">
    <cfRule type="expression" dxfId="380" priority="380" stopIfTrue="1">
      <formula>BD35="Water"</formula>
    </cfRule>
    <cfRule type="expression" dxfId="379" priority="381" stopIfTrue="1">
      <formula>BD35="Land"</formula>
    </cfRule>
  </conditionalFormatting>
  <conditionalFormatting sqref="BD34">
    <cfRule type="expression" dxfId="378" priority="376" stopIfTrue="1">
      <formula>BD35="Water"</formula>
    </cfRule>
    <cfRule type="expression" dxfId="377" priority="377" stopIfTrue="1">
      <formula>AT34="Water"</formula>
    </cfRule>
    <cfRule type="expression" dxfId="376" priority="378" stopIfTrue="1">
      <formula>AT34="Land"</formula>
    </cfRule>
    <cfRule type="expression" dxfId="375" priority="379" stopIfTrue="1">
      <formula>BD35="Land"</formula>
    </cfRule>
  </conditionalFormatting>
  <conditionalFormatting sqref="AS34">
    <cfRule type="expression" dxfId="374" priority="372" stopIfTrue="1">
      <formula>AT34="Water"</formula>
    </cfRule>
    <cfRule type="expression" dxfId="373" priority="373" stopIfTrue="1">
      <formula>AS35="Water"</formula>
    </cfRule>
    <cfRule type="expression" dxfId="372" priority="374" stopIfTrue="1">
      <formula>AT34="Land"</formula>
    </cfRule>
    <cfRule type="expression" dxfId="371" priority="375" stopIfTrue="1">
      <formula>AS35="Land"</formula>
    </cfRule>
  </conditionalFormatting>
  <conditionalFormatting sqref="AU36:BB43">
    <cfRule type="expression" dxfId="370" priority="371">
      <formula>AU36&lt;&gt;""</formula>
    </cfRule>
  </conditionalFormatting>
  <conditionalFormatting sqref="AU48:BB48">
    <cfRule type="expression" dxfId="369" priority="370">
      <formula>AU48="City Wall"</formula>
    </cfRule>
  </conditionalFormatting>
  <conditionalFormatting sqref="AU57:BB57">
    <cfRule type="expression" dxfId="368" priority="369">
      <formula>AU57="City Wall"</formula>
    </cfRule>
  </conditionalFormatting>
  <conditionalFormatting sqref="AT49:AT56">
    <cfRule type="expression" dxfId="367" priority="368">
      <formula>AT49="City Wall"</formula>
    </cfRule>
  </conditionalFormatting>
  <conditionalFormatting sqref="BC49:BC56">
    <cfRule type="expression" dxfId="366" priority="367">
      <formula>BC49="City Wall"</formula>
    </cfRule>
  </conditionalFormatting>
  <conditionalFormatting sqref="AT48">
    <cfRule type="expression" dxfId="365" priority="365">
      <formula>AT49="City Wall"</formula>
    </cfRule>
    <cfRule type="expression" dxfId="364" priority="366">
      <formula>AU48="City Wall"</formula>
    </cfRule>
  </conditionalFormatting>
  <conditionalFormatting sqref="BC48">
    <cfRule type="expression" dxfId="363" priority="363">
      <formula>BC49="City Wall"</formula>
    </cfRule>
    <cfRule type="expression" dxfId="362" priority="364">
      <formula>AU48="City Wall"</formula>
    </cfRule>
  </conditionalFormatting>
  <conditionalFormatting sqref="BC57">
    <cfRule type="expression" dxfId="361" priority="361">
      <formula>AU57="City Wall"</formula>
    </cfRule>
    <cfRule type="expression" dxfId="360" priority="362">
      <formula>BC49="City Wall"</formula>
    </cfRule>
  </conditionalFormatting>
  <conditionalFormatting sqref="AT57">
    <cfRule type="expression" dxfId="359" priority="359">
      <formula>AT49="City Wall"</formula>
    </cfRule>
    <cfRule type="expression" dxfId="358" priority="360">
      <formula>AU57="City Wall"</formula>
    </cfRule>
  </conditionalFormatting>
  <conditionalFormatting sqref="AT58:BC58">
    <cfRule type="expression" dxfId="357" priority="357">
      <formula>AT58="Land"</formula>
    </cfRule>
    <cfRule type="expression" dxfId="356" priority="358">
      <formula>AT58="Water"</formula>
    </cfRule>
  </conditionalFormatting>
  <conditionalFormatting sqref="BD58">
    <cfRule type="expression" dxfId="355" priority="353" stopIfTrue="1">
      <formula>BD48="Water"</formula>
    </cfRule>
    <cfRule type="expression" dxfId="354" priority="354" stopIfTrue="1">
      <formula>AT58="Water"</formula>
    </cfRule>
    <cfRule type="expression" dxfId="353" priority="355" stopIfTrue="1">
      <formula>AT58="Land"</formula>
    </cfRule>
    <cfRule type="expression" dxfId="352" priority="356" stopIfTrue="1">
      <formula>BD48="Land"</formula>
    </cfRule>
  </conditionalFormatting>
  <conditionalFormatting sqref="AT47:BC47">
    <cfRule type="expression" dxfId="351" priority="351" stopIfTrue="1">
      <formula>AT47="Water"</formula>
    </cfRule>
    <cfRule type="expression" dxfId="350" priority="352" stopIfTrue="1">
      <formula>AT47="Land"</formula>
    </cfRule>
  </conditionalFormatting>
  <conditionalFormatting sqref="AS58">
    <cfRule type="expression" dxfId="349" priority="347" stopIfTrue="1">
      <formula>AS48="Water"</formula>
    </cfRule>
    <cfRule type="expression" dxfId="348" priority="348" stopIfTrue="1">
      <formula>AT58="Water"</formula>
    </cfRule>
    <cfRule type="expression" dxfId="347" priority="349" stopIfTrue="1">
      <formula>AT58="Land"</formula>
    </cfRule>
    <cfRule type="expression" dxfId="346" priority="350" stopIfTrue="1">
      <formula>AS48="Land"</formula>
    </cfRule>
  </conditionalFormatting>
  <conditionalFormatting sqref="AS48:AS57">
    <cfRule type="expression" dxfId="345" priority="345" stopIfTrue="1">
      <formula>AS48="Water"</formula>
    </cfRule>
    <cfRule type="expression" dxfId="344" priority="346" stopIfTrue="1">
      <formula>AS48="Land"</formula>
    </cfRule>
  </conditionalFormatting>
  <conditionalFormatting sqref="BD48:BD57">
    <cfRule type="expression" dxfId="343" priority="343" stopIfTrue="1">
      <formula>BD48="Water"</formula>
    </cfRule>
    <cfRule type="expression" dxfId="342" priority="344" stopIfTrue="1">
      <formula>BD48="Land"</formula>
    </cfRule>
  </conditionalFormatting>
  <conditionalFormatting sqref="BD47">
    <cfRule type="expression" dxfId="341" priority="339" stopIfTrue="1">
      <formula>BD48="Water"</formula>
    </cfRule>
    <cfRule type="expression" dxfId="340" priority="340" stopIfTrue="1">
      <formula>AT47="Water"</formula>
    </cfRule>
    <cfRule type="expression" dxfId="339" priority="341" stopIfTrue="1">
      <formula>AT47="Land"</formula>
    </cfRule>
    <cfRule type="expression" dxfId="338" priority="342" stopIfTrue="1">
      <formula>BD48="Land"</formula>
    </cfRule>
  </conditionalFormatting>
  <conditionalFormatting sqref="AS47">
    <cfRule type="expression" dxfId="337" priority="335" stopIfTrue="1">
      <formula>AT47="Water"</formula>
    </cfRule>
    <cfRule type="expression" dxfId="336" priority="336" stopIfTrue="1">
      <formula>AS48="Water"</formula>
    </cfRule>
    <cfRule type="expression" dxfId="335" priority="337" stopIfTrue="1">
      <formula>AT47="Land"</formula>
    </cfRule>
    <cfRule type="expression" dxfId="334" priority="338" stopIfTrue="1">
      <formula>AS48="Land"</formula>
    </cfRule>
  </conditionalFormatting>
  <conditionalFormatting sqref="AU49:BB56">
    <cfRule type="expression" dxfId="333" priority="334">
      <formula>AU49&lt;&gt;""</formula>
    </cfRule>
  </conditionalFormatting>
  <conditionalFormatting sqref="H61:O61">
    <cfRule type="expression" dxfId="332" priority="333">
      <formula>H61="City Wall"</formula>
    </cfRule>
  </conditionalFormatting>
  <conditionalFormatting sqref="H70:O70">
    <cfRule type="expression" dxfId="331" priority="332">
      <formula>H70="City Wall"</formula>
    </cfRule>
  </conditionalFormatting>
  <conditionalFormatting sqref="G62:G69">
    <cfRule type="expression" dxfId="330" priority="331">
      <formula>G62="City Wall"</formula>
    </cfRule>
  </conditionalFormatting>
  <conditionalFormatting sqref="P62:P69">
    <cfRule type="expression" dxfId="329" priority="330">
      <formula>P62="City Wall"</formula>
    </cfRule>
  </conditionalFormatting>
  <conditionalFormatting sqref="G61">
    <cfRule type="expression" dxfId="328" priority="328">
      <formula>G62="City Wall"</formula>
    </cfRule>
    <cfRule type="expression" dxfId="327" priority="329">
      <formula>H61="City Wall"</formula>
    </cfRule>
  </conditionalFormatting>
  <conditionalFormatting sqref="P61">
    <cfRule type="expression" dxfId="326" priority="326">
      <formula>P62="City Wall"</formula>
    </cfRule>
    <cfRule type="expression" dxfId="325" priority="327">
      <formula>H61="City Wall"</formula>
    </cfRule>
  </conditionalFormatting>
  <conditionalFormatting sqref="P70">
    <cfRule type="expression" dxfId="324" priority="324">
      <formula>H70="City Wall"</formula>
    </cfRule>
    <cfRule type="expression" dxfId="323" priority="325">
      <formula>P62="City Wall"</formula>
    </cfRule>
  </conditionalFormatting>
  <conditionalFormatting sqref="G70">
    <cfRule type="expression" dxfId="322" priority="322">
      <formula>G62="City Wall"</formula>
    </cfRule>
    <cfRule type="expression" dxfId="321" priority="323">
      <formula>H70="City Wall"</formula>
    </cfRule>
  </conditionalFormatting>
  <conditionalFormatting sqref="G71:P71">
    <cfRule type="expression" dxfId="320" priority="320">
      <formula>G71="Land"</formula>
    </cfRule>
    <cfRule type="expression" dxfId="319" priority="321">
      <formula>G71="Water"</formula>
    </cfRule>
  </conditionalFormatting>
  <conditionalFormatting sqref="Q71">
    <cfRule type="expression" dxfId="318" priority="316" stopIfTrue="1">
      <formula>Q61="Water"</formula>
    </cfRule>
    <cfRule type="expression" dxfId="317" priority="317" stopIfTrue="1">
      <formula>G71="Water"</formula>
    </cfRule>
    <cfRule type="expression" dxfId="316" priority="318" stopIfTrue="1">
      <formula>G71="Land"</formula>
    </cfRule>
    <cfRule type="expression" dxfId="315" priority="319" stopIfTrue="1">
      <formula>Q61="Land"</formula>
    </cfRule>
  </conditionalFormatting>
  <conditionalFormatting sqref="G60:P60">
    <cfRule type="expression" dxfId="314" priority="314" stopIfTrue="1">
      <formula>G60="Water"</formula>
    </cfRule>
    <cfRule type="expression" dxfId="313" priority="315" stopIfTrue="1">
      <formula>G60="Land"</formula>
    </cfRule>
  </conditionalFormatting>
  <conditionalFormatting sqref="F71">
    <cfRule type="expression" dxfId="312" priority="310" stopIfTrue="1">
      <formula>F61="Water"</formula>
    </cfRule>
    <cfRule type="expression" dxfId="311" priority="311" stopIfTrue="1">
      <formula>G71="Water"</formula>
    </cfRule>
    <cfRule type="expression" dxfId="310" priority="312" stopIfTrue="1">
      <formula>G71="Land"</formula>
    </cfRule>
    <cfRule type="expression" dxfId="309" priority="313" stopIfTrue="1">
      <formula>F61="Land"</formula>
    </cfRule>
  </conditionalFormatting>
  <conditionalFormatting sqref="F61:F70">
    <cfRule type="expression" dxfId="308" priority="308" stopIfTrue="1">
      <formula>F61="Water"</formula>
    </cfRule>
    <cfRule type="expression" dxfId="307" priority="309" stopIfTrue="1">
      <formula>F61="Land"</formula>
    </cfRule>
  </conditionalFormatting>
  <conditionalFormatting sqref="Q61:Q70">
    <cfRule type="expression" dxfId="306" priority="306" stopIfTrue="1">
      <formula>Q61="Water"</formula>
    </cfRule>
    <cfRule type="expression" dxfId="305" priority="307" stopIfTrue="1">
      <formula>Q61="Land"</formula>
    </cfRule>
  </conditionalFormatting>
  <conditionalFormatting sqref="Q60">
    <cfRule type="expression" dxfId="304" priority="302" stopIfTrue="1">
      <formula>Q61="Water"</formula>
    </cfRule>
    <cfRule type="expression" dxfId="303" priority="303" stopIfTrue="1">
      <formula>G60="Water"</formula>
    </cfRule>
    <cfRule type="expression" dxfId="302" priority="304" stopIfTrue="1">
      <formula>G60="Land"</formula>
    </cfRule>
    <cfRule type="expression" dxfId="301" priority="305" stopIfTrue="1">
      <formula>Q61="Land"</formula>
    </cfRule>
  </conditionalFormatting>
  <conditionalFormatting sqref="F60">
    <cfRule type="expression" dxfId="300" priority="298" stopIfTrue="1">
      <formula>G60="Water"</formula>
    </cfRule>
    <cfRule type="expression" dxfId="299" priority="299" stopIfTrue="1">
      <formula>F61="Water"</formula>
    </cfRule>
    <cfRule type="expression" dxfId="298" priority="300" stopIfTrue="1">
      <formula>G60="Land"</formula>
    </cfRule>
    <cfRule type="expression" dxfId="297" priority="301" stopIfTrue="1">
      <formula>F61="Land"</formula>
    </cfRule>
  </conditionalFormatting>
  <conditionalFormatting sqref="H62:O69">
    <cfRule type="expression" dxfId="296" priority="297">
      <formula>H62&lt;&gt;""</formula>
    </cfRule>
  </conditionalFormatting>
  <conditionalFormatting sqref="U61:AB61">
    <cfRule type="expression" dxfId="295" priority="296">
      <formula>U61="City Wall"</formula>
    </cfRule>
  </conditionalFormatting>
  <conditionalFormatting sqref="U70:AB70">
    <cfRule type="expression" dxfId="294" priority="295">
      <formula>U70="City Wall"</formula>
    </cfRule>
  </conditionalFormatting>
  <conditionalFormatting sqref="T62:T69">
    <cfRule type="expression" dxfId="293" priority="294">
      <formula>T62="City Wall"</formula>
    </cfRule>
  </conditionalFormatting>
  <conditionalFormatting sqref="AC62:AC69">
    <cfRule type="expression" dxfId="292" priority="293">
      <formula>AC62="City Wall"</formula>
    </cfRule>
  </conditionalFormatting>
  <conditionalFormatting sqref="T61">
    <cfRule type="expression" dxfId="291" priority="291">
      <formula>T62="City Wall"</formula>
    </cfRule>
    <cfRule type="expression" dxfId="290" priority="292">
      <formula>U61="City Wall"</formula>
    </cfRule>
  </conditionalFormatting>
  <conditionalFormatting sqref="AC61">
    <cfRule type="expression" dxfId="289" priority="289">
      <formula>AC62="City Wall"</formula>
    </cfRule>
    <cfRule type="expression" dxfId="288" priority="290">
      <formula>U61="City Wall"</formula>
    </cfRule>
  </conditionalFormatting>
  <conditionalFormatting sqref="AC70">
    <cfRule type="expression" dxfId="287" priority="287">
      <formula>U70="City Wall"</formula>
    </cfRule>
    <cfRule type="expression" dxfId="286" priority="288">
      <formula>AC62="City Wall"</formula>
    </cfRule>
  </conditionalFormatting>
  <conditionalFormatting sqref="T70">
    <cfRule type="expression" dxfId="285" priority="285">
      <formula>T62="City Wall"</formula>
    </cfRule>
    <cfRule type="expression" dxfId="284" priority="286">
      <formula>U70="City Wall"</formula>
    </cfRule>
  </conditionalFormatting>
  <conditionalFormatting sqref="T71:AC71">
    <cfRule type="expression" dxfId="283" priority="283">
      <formula>T71="Land"</formula>
    </cfRule>
    <cfRule type="expression" dxfId="282" priority="284">
      <formula>T71="Water"</formula>
    </cfRule>
  </conditionalFormatting>
  <conditionalFormatting sqref="AD71">
    <cfRule type="expression" dxfId="281" priority="279" stopIfTrue="1">
      <formula>AD61="Water"</formula>
    </cfRule>
    <cfRule type="expression" dxfId="280" priority="280" stopIfTrue="1">
      <formula>T71="Water"</formula>
    </cfRule>
    <cfRule type="expression" dxfId="279" priority="281" stopIfTrue="1">
      <formula>T71="Land"</formula>
    </cfRule>
    <cfRule type="expression" dxfId="278" priority="282" stopIfTrue="1">
      <formula>AD61="Land"</formula>
    </cfRule>
  </conditionalFormatting>
  <conditionalFormatting sqref="T60:AC60">
    <cfRule type="expression" dxfId="277" priority="277" stopIfTrue="1">
      <formula>T60="Water"</formula>
    </cfRule>
    <cfRule type="expression" dxfId="276" priority="278" stopIfTrue="1">
      <formula>T60="Land"</formula>
    </cfRule>
  </conditionalFormatting>
  <conditionalFormatting sqref="S71">
    <cfRule type="expression" dxfId="275" priority="273" stopIfTrue="1">
      <formula>S61="Water"</formula>
    </cfRule>
    <cfRule type="expression" dxfId="274" priority="274" stopIfTrue="1">
      <formula>T71="Water"</formula>
    </cfRule>
    <cfRule type="expression" dxfId="273" priority="275" stopIfTrue="1">
      <formula>T71="Land"</formula>
    </cfRule>
    <cfRule type="expression" dxfId="272" priority="276" stopIfTrue="1">
      <formula>S61="Land"</formula>
    </cfRule>
  </conditionalFormatting>
  <conditionalFormatting sqref="S61:S70">
    <cfRule type="expression" dxfId="271" priority="271" stopIfTrue="1">
      <formula>S61="Water"</formula>
    </cfRule>
    <cfRule type="expression" dxfId="270" priority="272" stopIfTrue="1">
      <formula>S61="Land"</formula>
    </cfRule>
  </conditionalFormatting>
  <conditionalFormatting sqref="AD61:AD70">
    <cfRule type="expression" dxfId="269" priority="269" stopIfTrue="1">
      <formula>AD61="Water"</formula>
    </cfRule>
    <cfRule type="expression" dxfId="268" priority="270" stopIfTrue="1">
      <formula>AD61="Land"</formula>
    </cfRule>
  </conditionalFormatting>
  <conditionalFormatting sqref="AD60">
    <cfRule type="expression" dxfId="267" priority="265" stopIfTrue="1">
      <formula>AD61="Water"</formula>
    </cfRule>
    <cfRule type="expression" dxfId="266" priority="266" stopIfTrue="1">
      <formula>T60="Water"</formula>
    </cfRule>
    <cfRule type="expression" dxfId="265" priority="267" stopIfTrue="1">
      <formula>T60="Land"</formula>
    </cfRule>
    <cfRule type="expression" dxfId="264" priority="268" stopIfTrue="1">
      <formula>AD61="Land"</formula>
    </cfRule>
  </conditionalFormatting>
  <conditionalFormatting sqref="S60">
    <cfRule type="expression" dxfId="263" priority="261" stopIfTrue="1">
      <formula>T60="Water"</formula>
    </cfRule>
    <cfRule type="expression" dxfId="262" priority="262" stopIfTrue="1">
      <formula>S61="Water"</formula>
    </cfRule>
    <cfRule type="expression" dxfId="261" priority="263" stopIfTrue="1">
      <formula>T60="Land"</formula>
    </cfRule>
    <cfRule type="expression" dxfId="260" priority="264" stopIfTrue="1">
      <formula>S61="Land"</formula>
    </cfRule>
  </conditionalFormatting>
  <conditionalFormatting sqref="U62:AB69">
    <cfRule type="expression" dxfId="259" priority="260">
      <formula>U62&lt;&gt;""</formula>
    </cfRule>
  </conditionalFormatting>
  <conditionalFormatting sqref="AH61:AO61">
    <cfRule type="expression" dxfId="258" priority="259">
      <formula>AH61="City Wall"</formula>
    </cfRule>
  </conditionalFormatting>
  <conditionalFormatting sqref="AH70:AO70">
    <cfRule type="expression" dxfId="257" priority="258">
      <formula>AH70="City Wall"</formula>
    </cfRule>
  </conditionalFormatting>
  <conditionalFormatting sqref="AG62:AG69">
    <cfRule type="expression" dxfId="256" priority="257">
      <formula>AG62="City Wall"</formula>
    </cfRule>
  </conditionalFormatting>
  <conditionalFormatting sqref="AP62:AP69">
    <cfRule type="expression" dxfId="255" priority="256">
      <formula>AP62="City Wall"</formula>
    </cfRule>
  </conditionalFormatting>
  <conditionalFormatting sqref="AG61">
    <cfRule type="expression" dxfId="254" priority="254">
      <formula>AG62="City Wall"</formula>
    </cfRule>
    <cfRule type="expression" dxfId="253" priority="255">
      <formula>AH61="City Wall"</formula>
    </cfRule>
  </conditionalFormatting>
  <conditionalFormatting sqref="AP61">
    <cfRule type="expression" dxfId="252" priority="252">
      <formula>AP62="City Wall"</formula>
    </cfRule>
    <cfRule type="expression" dxfId="251" priority="253">
      <formula>AH61="City Wall"</formula>
    </cfRule>
  </conditionalFormatting>
  <conditionalFormatting sqref="AP70">
    <cfRule type="expression" dxfId="250" priority="250">
      <formula>AH70="City Wall"</formula>
    </cfRule>
    <cfRule type="expression" dxfId="249" priority="251">
      <formula>AP62="City Wall"</formula>
    </cfRule>
  </conditionalFormatting>
  <conditionalFormatting sqref="AG70">
    <cfRule type="expression" dxfId="248" priority="248">
      <formula>AG62="City Wall"</formula>
    </cfRule>
    <cfRule type="expression" dxfId="247" priority="249">
      <formula>AH70="City Wall"</formula>
    </cfRule>
  </conditionalFormatting>
  <conditionalFormatting sqref="AG71:AP71">
    <cfRule type="expression" dxfId="246" priority="246">
      <formula>AG71="Land"</formula>
    </cfRule>
    <cfRule type="expression" dxfId="245" priority="247">
      <formula>AG71="Water"</formula>
    </cfRule>
  </conditionalFormatting>
  <conditionalFormatting sqref="AQ71">
    <cfRule type="expression" dxfId="244" priority="242" stopIfTrue="1">
      <formula>AQ61="Water"</formula>
    </cfRule>
    <cfRule type="expression" dxfId="243" priority="243" stopIfTrue="1">
      <formula>AG71="Water"</formula>
    </cfRule>
    <cfRule type="expression" dxfId="242" priority="244" stopIfTrue="1">
      <formula>AG71="Land"</formula>
    </cfRule>
    <cfRule type="expression" dxfId="241" priority="245" stopIfTrue="1">
      <formula>AQ61="Land"</formula>
    </cfRule>
  </conditionalFormatting>
  <conditionalFormatting sqref="AG60:AP60">
    <cfRule type="expression" dxfId="240" priority="240" stopIfTrue="1">
      <formula>AG60="Water"</formula>
    </cfRule>
    <cfRule type="expression" dxfId="239" priority="241" stopIfTrue="1">
      <formula>AG60="Land"</formula>
    </cfRule>
  </conditionalFormatting>
  <conditionalFormatting sqref="AF71">
    <cfRule type="expression" dxfId="238" priority="236" stopIfTrue="1">
      <formula>AF61="Water"</formula>
    </cfRule>
    <cfRule type="expression" dxfId="237" priority="237" stopIfTrue="1">
      <formula>AG71="Water"</formula>
    </cfRule>
    <cfRule type="expression" dxfId="236" priority="238" stopIfTrue="1">
      <formula>AG71="Land"</formula>
    </cfRule>
    <cfRule type="expression" dxfId="235" priority="239" stopIfTrue="1">
      <formula>AF61="Land"</formula>
    </cfRule>
  </conditionalFormatting>
  <conditionalFormatting sqref="AF61:AF70">
    <cfRule type="expression" dxfId="234" priority="234" stopIfTrue="1">
      <formula>AF61="Water"</formula>
    </cfRule>
    <cfRule type="expression" dxfId="233" priority="235" stopIfTrue="1">
      <formula>AF61="Land"</formula>
    </cfRule>
  </conditionalFormatting>
  <conditionalFormatting sqref="AQ61:AQ70">
    <cfRule type="expression" dxfId="232" priority="232" stopIfTrue="1">
      <formula>AQ61="Water"</formula>
    </cfRule>
    <cfRule type="expression" dxfId="231" priority="233" stopIfTrue="1">
      <formula>AQ61="Land"</formula>
    </cfRule>
  </conditionalFormatting>
  <conditionalFormatting sqref="AQ60">
    <cfRule type="expression" dxfId="230" priority="228" stopIfTrue="1">
      <formula>AQ61="Water"</formula>
    </cfRule>
    <cfRule type="expression" dxfId="229" priority="229" stopIfTrue="1">
      <formula>AG60="Water"</formula>
    </cfRule>
    <cfRule type="expression" dxfId="228" priority="230" stopIfTrue="1">
      <formula>AG60="Land"</formula>
    </cfRule>
    <cfRule type="expression" dxfId="227" priority="231" stopIfTrue="1">
      <formula>AQ61="Land"</formula>
    </cfRule>
  </conditionalFormatting>
  <conditionalFormatting sqref="AF60">
    <cfRule type="expression" dxfId="226" priority="224" stopIfTrue="1">
      <formula>AG60="Water"</formula>
    </cfRule>
    <cfRule type="expression" dxfId="225" priority="225" stopIfTrue="1">
      <formula>AF61="Water"</formula>
    </cfRule>
    <cfRule type="expression" dxfId="224" priority="226" stopIfTrue="1">
      <formula>AG60="Land"</formula>
    </cfRule>
    <cfRule type="expression" dxfId="223" priority="227" stopIfTrue="1">
      <formula>AF61="Land"</formula>
    </cfRule>
  </conditionalFormatting>
  <conditionalFormatting sqref="AH62:AO69">
    <cfRule type="expression" dxfId="222" priority="223">
      <formula>AH62&lt;&gt;""</formula>
    </cfRule>
  </conditionalFormatting>
  <conditionalFormatting sqref="AU61:BB61">
    <cfRule type="expression" dxfId="221" priority="222">
      <formula>AU61="City Wall"</formula>
    </cfRule>
  </conditionalFormatting>
  <conditionalFormatting sqref="AU70:BB70">
    <cfRule type="expression" dxfId="220" priority="221">
      <formula>AU70="City Wall"</formula>
    </cfRule>
  </conditionalFormatting>
  <conditionalFormatting sqref="AT62:AT69">
    <cfRule type="expression" dxfId="219" priority="220">
      <formula>AT62="City Wall"</formula>
    </cfRule>
  </conditionalFormatting>
  <conditionalFormatting sqref="BC62:BC69">
    <cfRule type="expression" dxfId="218" priority="219">
      <formula>BC62="City Wall"</formula>
    </cfRule>
  </conditionalFormatting>
  <conditionalFormatting sqref="AT61">
    <cfRule type="expression" dxfId="217" priority="217">
      <formula>AT62="City Wall"</formula>
    </cfRule>
    <cfRule type="expression" dxfId="216" priority="218">
      <formula>AU61="City Wall"</formula>
    </cfRule>
  </conditionalFormatting>
  <conditionalFormatting sqref="BC61">
    <cfRule type="expression" dxfId="215" priority="215">
      <formula>BC62="City Wall"</formula>
    </cfRule>
    <cfRule type="expression" dxfId="214" priority="216">
      <formula>AU61="City Wall"</formula>
    </cfRule>
  </conditionalFormatting>
  <conditionalFormatting sqref="BC70">
    <cfRule type="expression" dxfId="213" priority="213">
      <formula>AU70="City Wall"</formula>
    </cfRule>
    <cfRule type="expression" dxfId="212" priority="214">
      <formula>BC62="City Wall"</formula>
    </cfRule>
  </conditionalFormatting>
  <conditionalFormatting sqref="AT70">
    <cfRule type="expression" dxfId="211" priority="211">
      <formula>AT62="City Wall"</formula>
    </cfRule>
    <cfRule type="expression" dxfId="210" priority="212">
      <formula>AU70="City Wall"</formula>
    </cfRule>
  </conditionalFormatting>
  <conditionalFormatting sqref="AT71:BC71">
    <cfRule type="expression" dxfId="209" priority="209">
      <formula>AT71="Land"</formula>
    </cfRule>
    <cfRule type="expression" dxfId="208" priority="210">
      <formula>AT71="Water"</formula>
    </cfRule>
  </conditionalFormatting>
  <conditionalFormatting sqref="BD71">
    <cfRule type="expression" dxfId="207" priority="205" stopIfTrue="1">
      <formula>BD61="Water"</formula>
    </cfRule>
    <cfRule type="expression" dxfId="206" priority="206" stopIfTrue="1">
      <formula>AT71="Water"</formula>
    </cfRule>
    <cfRule type="expression" dxfId="205" priority="207" stopIfTrue="1">
      <formula>AT71="Land"</formula>
    </cfRule>
    <cfRule type="expression" dxfId="204" priority="208" stopIfTrue="1">
      <formula>BD61="Land"</formula>
    </cfRule>
  </conditionalFormatting>
  <conditionalFormatting sqref="AT60:BC60">
    <cfRule type="expression" dxfId="203" priority="203" stopIfTrue="1">
      <formula>AT60="Water"</formula>
    </cfRule>
    <cfRule type="expression" dxfId="202" priority="204" stopIfTrue="1">
      <formula>AT60="Land"</formula>
    </cfRule>
  </conditionalFormatting>
  <conditionalFormatting sqref="AS71">
    <cfRule type="expression" dxfId="201" priority="199" stopIfTrue="1">
      <formula>AS61="Water"</formula>
    </cfRule>
    <cfRule type="expression" dxfId="200" priority="200" stopIfTrue="1">
      <formula>AT71="Water"</formula>
    </cfRule>
    <cfRule type="expression" dxfId="199" priority="201" stopIfTrue="1">
      <formula>AT71="Land"</formula>
    </cfRule>
    <cfRule type="expression" dxfId="198" priority="202" stopIfTrue="1">
      <formula>AS61="Land"</formula>
    </cfRule>
  </conditionalFormatting>
  <conditionalFormatting sqref="AS61:AS70">
    <cfRule type="expression" dxfId="197" priority="197" stopIfTrue="1">
      <formula>AS61="Water"</formula>
    </cfRule>
    <cfRule type="expression" dxfId="196" priority="198" stopIfTrue="1">
      <formula>AS61="Land"</formula>
    </cfRule>
  </conditionalFormatting>
  <conditionalFormatting sqref="BD61:BD70">
    <cfRule type="expression" dxfId="195" priority="195" stopIfTrue="1">
      <formula>BD61="Water"</formula>
    </cfRule>
    <cfRule type="expression" dxfId="194" priority="196" stopIfTrue="1">
      <formula>BD61="Land"</formula>
    </cfRule>
  </conditionalFormatting>
  <conditionalFormatting sqref="BD60">
    <cfRule type="expression" dxfId="193" priority="191" stopIfTrue="1">
      <formula>BD61="Water"</formula>
    </cfRule>
    <cfRule type="expression" dxfId="192" priority="192" stopIfTrue="1">
      <formula>AT60="Water"</formula>
    </cfRule>
    <cfRule type="expression" dxfId="191" priority="193" stopIfTrue="1">
      <formula>AT60="Land"</formula>
    </cfRule>
    <cfRule type="expression" dxfId="190" priority="194" stopIfTrue="1">
      <formula>BD61="Land"</formula>
    </cfRule>
  </conditionalFormatting>
  <conditionalFormatting sqref="AS60">
    <cfRule type="expression" dxfId="189" priority="187" stopIfTrue="1">
      <formula>AT60="Water"</formula>
    </cfRule>
    <cfRule type="expression" dxfId="188" priority="188" stopIfTrue="1">
      <formula>AS61="Water"</formula>
    </cfRule>
    <cfRule type="expression" dxfId="187" priority="189" stopIfTrue="1">
      <formula>AT60="Land"</formula>
    </cfRule>
    <cfRule type="expression" dxfId="186" priority="190" stopIfTrue="1">
      <formula>AS61="Land"</formula>
    </cfRule>
  </conditionalFormatting>
  <conditionalFormatting sqref="AU62:BB69">
    <cfRule type="expression" dxfId="185" priority="186">
      <formula>AU62&lt;&gt;""</formula>
    </cfRule>
  </conditionalFormatting>
  <conditionalFormatting sqref="BH9:BO9">
    <cfRule type="expression" dxfId="184" priority="185">
      <formula>BH9="City Wall"</formula>
    </cfRule>
  </conditionalFormatting>
  <conditionalFormatting sqref="BH18:BO18">
    <cfRule type="expression" dxfId="183" priority="184">
      <formula>BH18="City Wall"</formula>
    </cfRule>
  </conditionalFormatting>
  <conditionalFormatting sqref="BG10:BG17">
    <cfRule type="expression" dxfId="182" priority="183">
      <formula>BG10="City Wall"</formula>
    </cfRule>
  </conditionalFormatting>
  <conditionalFormatting sqref="BP10:BP17">
    <cfRule type="expression" dxfId="181" priority="182">
      <formula>BP10="City Wall"</formula>
    </cfRule>
  </conditionalFormatting>
  <conditionalFormatting sqref="BG9">
    <cfRule type="expression" dxfId="180" priority="180">
      <formula>BG10="City Wall"</formula>
    </cfRule>
    <cfRule type="expression" dxfId="179" priority="181">
      <formula>BH9="City Wall"</formula>
    </cfRule>
  </conditionalFormatting>
  <conditionalFormatting sqref="BP9">
    <cfRule type="expression" dxfId="178" priority="178">
      <formula>BP10="City Wall"</formula>
    </cfRule>
    <cfRule type="expression" dxfId="177" priority="179">
      <formula>BH9="City Wall"</formula>
    </cfRule>
  </conditionalFormatting>
  <conditionalFormatting sqref="BP18">
    <cfRule type="expression" dxfId="176" priority="176">
      <formula>BH18="City Wall"</formula>
    </cfRule>
    <cfRule type="expression" dxfId="175" priority="177">
      <formula>BP10="City Wall"</formula>
    </cfRule>
  </conditionalFormatting>
  <conditionalFormatting sqref="BG18">
    <cfRule type="expression" dxfId="174" priority="174">
      <formula>BG10="City Wall"</formula>
    </cfRule>
    <cfRule type="expression" dxfId="173" priority="175">
      <formula>BH18="City Wall"</formula>
    </cfRule>
  </conditionalFormatting>
  <conditionalFormatting sqref="BG19:BP19">
    <cfRule type="expression" dxfId="172" priority="172">
      <formula>BG19="Land"</formula>
    </cfRule>
    <cfRule type="expression" dxfId="171" priority="173">
      <formula>BG19="Water"</formula>
    </cfRule>
  </conditionalFormatting>
  <conditionalFormatting sqref="BQ19">
    <cfRule type="expression" dxfId="170" priority="168" stopIfTrue="1">
      <formula>BQ9="Water"</formula>
    </cfRule>
    <cfRule type="expression" dxfId="169" priority="169" stopIfTrue="1">
      <formula>BG19="Water"</formula>
    </cfRule>
    <cfRule type="expression" dxfId="168" priority="170" stopIfTrue="1">
      <formula>BG19="Land"</formula>
    </cfRule>
    <cfRule type="expression" dxfId="167" priority="171" stopIfTrue="1">
      <formula>BQ9="Land"</formula>
    </cfRule>
  </conditionalFormatting>
  <conditionalFormatting sqref="BG8:BP8">
    <cfRule type="expression" dxfId="166" priority="166" stopIfTrue="1">
      <formula>BG8="Water"</formula>
    </cfRule>
    <cfRule type="expression" dxfId="165" priority="167" stopIfTrue="1">
      <formula>BG8="Land"</formula>
    </cfRule>
  </conditionalFormatting>
  <conditionalFormatting sqref="BF19">
    <cfRule type="expression" dxfId="164" priority="162" stopIfTrue="1">
      <formula>BF9="Water"</formula>
    </cfRule>
    <cfRule type="expression" dxfId="163" priority="163" stopIfTrue="1">
      <formula>BG19="Water"</formula>
    </cfRule>
    <cfRule type="expression" dxfId="162" priority="164" stopIfTrue="1">
      <formula>BG19="Land"</formula>
    </cfRule>
    <cfRule type="expression" dxfId="161" priority="165" stopIfTrue="1">
      <formula>BF9="Land"</formula>
    </cfRule>
  </conditionalFormatting>
  <conditionalFormatting sqref="BF9:BF18">
    <cfRule type="expression" dxfId="160" priority="160" stopIfTrue="1">
      <formula>BF9="Water"</formula>
    </cfRule>
    <cfRule type="expression" dxfId="159" priority="161" stopIfTrue="1">
      <formula>BF9="Land"</formula>
    </cfRule>
  </conditionalFormatting>
  <conditionalFormatting sqref="BQ9:BQ18">
    <cfRule type="expression" dxfId="158" priority="158" stopIfTrue="1">
      <formula>BQ9="Water"</formula>
    </cfRule>
    <cfRule type="expression" dxfId="157" priority="159" stopIfTrue="1">
      <formula>BQ9="Land"</formula>
    </cfRule>
  </conditionalFormatting>
  <conditionalFormatting sqref="BQ8">
    <cfRule type="expression" dxfId="156" priority="154" stopIfTrue="1">
      <formula>BQ9="Water"</formula>
    </cfRule>
    <cfRule type="expression" dxfId="155" priority="155" stopIfTrue="1">
      <formula>BG8="Water"</formula>
    </cfRule>
    <cfRule type="expression" dxfId="154" priority="156" stopIfTrue="1">
      <formula>BG8="Land"</formula>
    </cfRule>
    <cfRule type="expression" dxfId="153" priority="157" stopIfTrue="1">
      <formula>BQ9="Land"</formula>
    </cfRule>
  </conditionalFormatting>
  <conditionalFormatting sqref="BF8">
    <cfRule type="expression" dxfId="152" priority="150" stopIfTrue="1">
      <formula>BG8="Water"</formula>
    </cfRule>
    <cfRule type="expression" dxfId="151" priority="151" stopIfTrue="1">
      <formula>BF9="Water"</formula>
    </cfRule>
    <cfRule type="expression" dxfId="150" priority="152" stopIfTrue="1">
      <formula>BG8="Land"</formula>
    </cfRule>
    <cfRule type="expression" dxfId="149" priority="153" stopIfTrue="1">
      <formula>BF9="Land"</formula>
    </cfRule>
  </conditionalFormatting>
  <conditionalFormatting sqref="BH10:BO17">
    <cfRule type="expression" dxfId="148" priority="149">
      <formula>BH10&lt;&gt;""</formula>
    </cfRule>
  </conditionalFormatting>
  <conditionalFormatting sqref="BH22:BO22">
    <cfRule type="expression" dxfId="147" priority="148">
      <formula>BH22="City Wall"</formula>
    </cfRule>
  </conditionalFormatting>
  <conditionalFormatting sqref="BH31:BO31">
    <cfRule type="expression" dxfId="146" priority="147">
      <formula>BH31="City Wall"</formula>
    </cfRule>
  </conditionalFormatting>
  <conditionalFormatting sqref="BG23:BG30">
    <cfRule type="expression" dxfId="145" priority="146">
      <formula>BG23="City Wall"</formula>
    </cfRule>
  </conditionalFormatting>
  <conditionalFormatting sqref="BP23:BP30">
    <cfRule type="expression" dxfId="144" priority="145">
      <formula>BP23="City Wall"</formula>
    </cfRule>
  </conditionalFormatting>
  <conditionalFormatting sqref="BG22">
    <cfRule type="expression" dxfId="143" priority="143">
      <formula>BG23="City Wall"</formula>
    </cfRule>
    <cfRule type="expression" dxfId="142" priority="144">
      <formula>BH22="City Wall"</formula>
    </cfRule>
  </conditionalFormatting>
  <conditionalFormatting sqref="BP22">
    <cfRule type="expression" dxfId="141" priority="141">
      <formula>BP23="City Wall"</formula>
    </cfRule>
    <cfRule type="expression" dxfId="140" priority="142">
      <formula>BH22="City Wall"</formula>
    </cfRule>
  </conditionalFormatting>
  <conditionalFormatting sqref="BP31">
    <cfRule type="expression" dxfId="139" priority="139">
      <formula>BH31="City Wall"</formula>
    </cfRule>
    <cfRule type="expression" dxfId="138" priority="140">
      <formula>BP23="City Wall"</formula>
    </cfRule>
  </conditionalFormatting>
  <conditionalFormatting sqref="BG31">
    <cfRule type="expression" dxfId="137" priority="137">
      <formula>BG23="City Wall"</formula>
    </cfRule>
    <cfRule type="expression" dxfId="136" priority="138">
      <formula>BH31="City Wall"</formula>
    </cfRule>
  </conditionalFormatting>
  <conditionalFormatting sqref="BG32:BP32">
    <cfRule type="expression" dxfId="135" priority="135">
      <formula>BG32="Land"</formula>
    </cfRule>
    <cfRule type="expression" dxfId="134" priority="136">
      <formula>BG32="Water"</formula>
    </cfRule>
  </conditionalFormatting>
  <conditionalFormatting sqref="BQ32">
    <cfRule type="expression" dxfId="133" priority="131" stopIfTrue="1">
      <formula>BQ22="Water"</formula>
    </cfRule>
    <cfRule type="expression" dxfId="132" priority="132" stopIfTrue="1">
      <formula>BG32="Water"</formula>
    </cfRule>
    <cfRule type="expression" dxfId="131" priority="133" stopIfTrue="1">
      <formula>BG32="Land"</formula>
    </cfRule>
    <cfRule type="expression" dxfId="130" priority="134" stopIfTrue="1">
      <formula>BQ22="Land"</formula>
    </cfRule>
  </conditionalFormatting>
  <conditionalFormatting sqref="BG21:BP21">
    <cfRule type="expression" dxfId="129" priority="129" stopIfTrue="1">
      <formula>BG21="Water"</formula>
    </cfRule>
    <cfRule type="expression" dxfId="128" priority="130" stopIfTrue="1">
      <formula>BG21="Land"</formula>
    </cfRule>
  </conditionalFormatting>
  <conditionalFormatting sqref="BF32">
    <cfRule type="expression" dxfId="127" priority="125" stopIfTrue="1">
      <formula>BF22="Water"</formula>
    </cfRule>
    <cfRule type="expression" dxfId="126" priority="126" stopIfTrue="1">
      <formula>BG32="Water"</formula>
    </cfRule>
    <cfRule type="expression" dxfId="125" priority="127" stopIfTrue="1">
      <formula>BG32="Land"</formula>
    </cfRule>
    <cfRule type="expression" dxfId="124" priority="128" stopIfTrue="1">
      <formula>BF22="Land"</formula>
    </cfRule>
  </conditionalFormatting>
  <conditionalFormatting sqref="BF22:BF31">
    <cfRule type="expression" dxfId="123" priority="123" stopIfTrue="1">
      <formula>BF22="Water"</formula>
    </cfRule>
    <cfRule type="expression" dxfId="122" priority="124" stopIfTrue="1">
      <formula>BF22="Land"</formula>
    </cfRule>
  </conditionalFormatting>
  <conditionalFormatting sqref="BQ22:BQ31">
    <cfRule type="expression" dxfId="121" priority="121" stopIfTrue="1">
      <formula>BQ22="Water"</formula>
    </cfRule>
    <cfRule type="expression" dxfId="120" priority="122" stopIfTrue="1">
      <formula>BQ22="Land"</formula>
    </cfRule>
  </conditionalFormatting>
  <conditionalFormatting sqref="BQ21">
    <cfRule type="expression" dxfId="119" priority="117" stopIfTrue="1">
      <formula>BQ22="Water"</formula>
    </cfRule>
    <cfRule type="expression" dxfId="118" priority="118" stopIfTrue="1">
      <formula>BG21="Water"</formula>
    </cfRule>
    <cfRule type="expression" dxfId="117" priority="119" stopIfTrue="1">
      <formula>BG21="Land"</formula>
    </cfRule>
    <cfRule type="expression" dxfId="116" priority="120" stopIfTrue="1">
      <formula>BQ22="Land"</formula>
    </cfRule>
  </conditionalFormatting>
  <conditionalFormatting sqref="BF21">
    <cfRule type="expression" dxfId="115" priority="113" stopIfTrue="1">
      <formula>BG21="Water"</formula>
    </cfRule>
    <cfRule type="expression" dxfId="114" priority="114" stopIfTrue="1">
      <formula>BF22="Water"</formula>
    </cfRule>
    <cfRule type="expression" dxfId="113" priority="115" stopIfTrue="1">
      <formula>BG21="Land"</formula>
    </cfRule>
    <cfRule type="expression" dxfId="112" priority="116" stopIfTrue="1">
      <formula>BF22="Land"</formula>
    </cfRule>
  </conditionalFormatting>
  <conditionalFormatting sqref="BH23:BO30">
    <cfRule type="expression" dxfId="111" priority="112">
      <formula>BH23&lt;&gt;""</formula>
    </cfRule>
  </conditionalFormatting>
  <conditionalFormatting sqref="BH35:BO35">
    <cfRule type="expression" dxfId="110" priority="111">
      <formula>BH35="City Wall"</formula>
    </cfRule>
  </conditionalFormatting>
  <conditionalFormatting sqref="BH44:BO44">
    <cfRule type="expression" dxfId="109" priority="110">
      <formula>BH44="City Wall"</formula>
    </cfRule>
  </conditionalFormatting>
  <conditionalFormatting sqref="BG36:BG43">
    <cfRule type="expression" dxfId="108" priority="109">
      <formula>BG36="City Wall"</formula>
    </cfRule>
  </conditionalFormatting>
  <conditionalFormatting sqref="BP36:BP43">
    <cfRule type="expression" dxfId="107" priority="108">
      <formula>BP36="City Wall"</formula>
    </cfRule>
  </conditionalFormatting>
  <conditionalFormatting sqref="BG35">
    <cfRule type="expression" dxfId="106" priority="106">
      <formula>BG36="City Wall"</formula>
    </cfRule>
    <cfRule type="expression" dxfId="105" priority="107">
      <formula>BH35="City Wall"</formula>
    </cfRule>
  </conditionalFormatting>
  <conditionalFormatting sqref="BP35">
    <cfRule type="expression" dxfId="104" priority="104">
      <formula>BP36="City Wall"</formula>
    </cfRule>
    <cfRule type="expression" dxfId="103" priority="105">
      <formula>BH35="City Wall"</formula>
    </cfRule>
  </conditionalFormatting>
  <conditionalFormatting sqref="BP44">
    <cfRule type="expression" dxfId="102" priority="102">
      <formula>BH44="City Wall"</formula>
    </cfRule>
    <cfRule type="expression" dxfId="101" priority="103">
      <formula>BP36="City Wall"</formula>
    </cfRule>
  </conditionalFormatting>
  <conditionalFormatting sqref="BG44">
    <cfRule type="expression" dxfId="100" priority="100">
      <formula>BG36="City Wall"</formula>
    </cfRule>
    <cfRule type="expression" dxfId="99" priority="101">
      <formula>BH44="City Wall"</formula>
    </cfRule>
  </conditionalFormatting>
  <conditionalFormatting sqref="BG45:BP45">
    <cfRule type="expression" dxfId="98" priority="98">
      <formula>BG45="Land"</formula>
    </cfRule>
    <cfRule type="expression" dxfId="97" priority="99">
      <formula>BG45="Water"</formula>
    </cfRule>
  </conditionalFormatting>
  <conditionalFormatting sqref="BQ45">
    <cfRule type="expression" dxfId="96" priority="94" stopIfTrue="1">
      <formula>BQ35="Water"</formula>
    </cfRule>
    <cfRule type="expression" dxfId="95" priority="95" stopIfTrue="1">
      <formula>BG45="Water"</formula>
    </cfRule>
    <cfRule type="expression" dxfId="94" priority="96" stopIfTrue="1">
      <formula>BG45="Land"</formula>
    </cfRule>
    <cfRule type="expression" dxfId="93" priority="97" stopIfTrue="1">
      <formula>BQ35="Land"</formula>
    </cfRule>
  </conditionalFormatting>
  <conditionalFormatting sqref="BG34:BP34">
    <cfRule type="expression" dxfId="92" priority="92" stopIfTrue="1">
      <formula>BG34="Water"</formula>
    </cfRule>
    <cfRule type="expression" dxfId="91" priority="93" stopIfTrue="1">
      <formula>BG34="Land"</formula>
    </cfRule>
  </conditionalFormatting>
  <conditionalFormatting sqref="BF45">
    <cfRule type="expression" dxfId="90" priority="88" stopIfTrue="1">
      <formula>BF35="Water"</formula>
    </cfRule>
    <cfRule type="expression" dxfId="89" priority="89" stopIfTrue="1">
      <formula>BG45="Water"</formula>
    </cfRule>
    <cfRule type="expression" dxfId="88" priority="90" stopIfTrue="1">
      <formula>BG45="Land"</formula>
    </cfRule>
    <cfRule type="expression" dxfId="87" priority="91" stopIfTrue="1">
      <formula>BF35="Land"</formula>
    </cfRule>
  </conditionalFormatting>
  <conditionalFormatting sqref="BF35:BF44">
    <cfRule type="expression" dxfId="86" priority="86" stopIfTrue="1">
      <formula>BF35="Water"</formula>
    </cfRule>
    <cfRule type="expression" dxfId="85" priority="87" stopIfTrue="1">
      <formula>BF35="Land"</formula>
    </cfRule>
  </conditionalFormatting>
  <conditionalFormatting sqref="BQ35:BQ44">
    <cfRule type="expression" dxfId="84" priority="84" stopIfTrue="1">
      <formula>BQ35="Water"</formula>
    </cfRule>
    <cfRule type="expression" dxfId="83" priority="85" stopIfTrue="1">
      <formula>BQ35="Land"</formula>
    </cfRule>
  </conditionalFormatting>
  <conditionalFormatting sqref="BQ34">
    <cfRule type="expression" dxfId="82" priority="80" stopIfTrue="1">
      <formula>BQ35="Water"</formula>
    </cfRule>
    <cfRule type="expression" dxfId="81" priority="81" stopIfTrue="1">
      <formula>BG34="Water"</formula>
    </cfRule>
    <cfRule type="expression" dxfId="80" priority="82" stopIfTrue="1">
      <formula>BG34="Land"</formula>
    </cfRule>
    <cfRule type="expression" dxfId="79" priority="83" stopIfTrue="1">
      <formula>BQ35="Land"</formula>
    </cfRule>
  </conditionalFormatting>
  <conditionalFormatting sqref="BF34">
    <cfRule type="expression" dxfId="78" priority="76" stopIfTrue="1">
      <formula>BG34="Water"</formula>
    </cfRule>
    <cfRule type="expression" dxfId="77" priority="77" stopIfTrue="1">
      <formula>BF35="Water"</formula>
    </cfRule>
    <cfRule type="expression" dxfId="76" priority="78" stopIfTrue="1">
      <formula>BG34="Land"</formula>
    </cfRule>
    <cfRule type="expression" dxfId="75" priority="79" stopIfTrue="1">
      <formula>BF35="Land"</formula>
    </cfRule>
  </conditionalFormatting>
  <conditionalFormatting sqref="BH36:BO43">
    <cfRule type="expression" dxfId="74" priority="75">
      <formula>BH36&lt;&gt;""</formula>
    </cfRule>
  </conditionalFormatting>
  <conditionalFormatting sqref="BH48:BO48">
    <cfRule type="expression" dxfId="73" priority="74">
      <formula>BH48="City Wall"</formula>
    </cfRule>
  </conditionalFormatting>
  <conditionalFormatting sqref="BH57:BO57">
    <cfRule type="expression" dxfId="72" priority="73">
      <formula>BH57="City Wall"</formula>
    </cfRule>
  </conditionalFormatting>
  <conditionalFormatting sqref="BG49:BG56">
    <cfRule type="expression" dxfId="71" priority="72">
      <formula>BG49="City Wall"</formula>
    </cfRule>
  </conditionalFormatting>
  <conditionalFormatting sqref="BP49:BP56">
    <cfRule type="expression" dxfId="70" priority="71">
      <formula>BP49="City Wall"</formula>
    </cfRule>
  </conditionalFormatting>
  <conditionalFormatting sqref="BG48">
    <cfRule type="expression" dxfId="69" priority="69">
      <formula>BG49="City Wall"</formula>
    </cfRule>
    <cfRule type="expression" dxfId="68" priority="70">
      <formula>BH48="City Wall"</formula>
    </cfRule>
  </conditionalFormatting>
  <conditionalFormatting sqref="BP48">
    <cfRule type="expression" dxfId="67" priority="67">
      <formula>BP49="City Wall"</formula>
    </cfRule>
    <cfRule type="expression" dxfId="66" priority="68">
      <formula>BH48="City Wall"</formula>
    </cfRule>
  </conditionalFormatting>
  <conditionalFormatting sqref="BP57">
    <cfRule type="expression" dxfId="65" priority="65">
      <formula>BH57="City Wall"</formula>
    </cfRule>
    <cfRule type="expression" dxfId="64" priority="66">
      <formula>BP49="City Wall"</formula>
    </cfRule>
  </conditionalFormatting>
  <conditionalFormatting sqref="BG57">
    <cfRule type="expression" dxfId="63" priority="63">
      <formula>BG49="City Wall"</formula>
    </cfRule>
    <cfRule type="expression" dxfId="62" priority="64">
      <formula>BH57="City Wall"</formula>
    </cfRule>
  </conditionalFormatting>
  <conditionalFormatting sqref="BG58:BP58">
    <cfRule type="expression" dxfId="61" priority="61">
      <formula>BG58="Land"</formula>
    </cfRule>
    <cfRule type="expression" dxfId="60" priority="62">
      <formula>BG58="Water"</formula>
    </cfRule>
  </conditionalFormatting>
  <conditionalFormatting sqref="BQ58">
    <cfRule type="expression" dxfId="59" priority="57" stopIfTrue="1">
      <formula>BQ48="Water"</formula>
    </cfRule>
    <cfRule type="expression" dxfId="58" priority="58" stopIfTrue="1">
      <formula>BG58="Water"</formula>
    </cfRule>
    <cfRule type="expression" dxfId="57" priority="59" stopIfTrue="1">
      <formula>BG58="Land"</formula>
    </cfRule>
    <cfRule type="expression" dxfId="56" priority="60" stopIfTrue="1">
      <formula>BQ48="Land"</formula>
    </cfRule>
  </conditionalFormatting>
  <conditionalFormatting sqref="BG47:BP47">
    <cfRule type="expression" dxfId="55" priority="55" stopIfTrue="1">
      <formula>BG47="Water"</formula>
    </cfRule>
    <cfRule type="expression" dxfId="54" priority="56" stopIfTrue="1">
      <formula>BG47="Land"</formula>
    </cfRule>
  </conditionalFormatting>
  <conditionalFormatting sqref="BF58">
    <cfRule type="expression" dxfId="53" priority="51" stopIfTrue="1">
      <formula>BF48="Water"</formula>
    </cfRule>
    <cfRule type="expression" dxfId="52" priority="52" stopIfTrue="1">
      <formula>BG58="Water"</formula>
    </cfRule>
    <cfRule type="expression" dxfId="51" priority="53" stopIfTrue="1">
      <formula>BG58="Land"</formula>
    </cfRule>
    <cfRule type="expression" dxfId="50" priority="54" stopIfTrue="1">
      <formula>BF48="Land"</formula>
    </cfRule>
  </conditionalFormatting>
  <conditionalFormatting sqref="BF48:BF57">
    <cfRule type="expression" dxfId="49" priority="49" stopIfTrue="1">
      <formula>BF48="Water"</formula>
    </cfRule>
    <cfRule type="expression" dxfId="48" priority="50" stopIfTrue="1">
      <formula>BF48="Land"</formula>
    </cfRule>
  </conditionalFormatting>
  <conditionalFormatting sqref="BQ48:BQ57">
    <cfRule type="expression" dxfId="47" priority="47" stopIfTrue="1">
      <formula>BQ48="Water"</formula>
    </cfRule>
    <cfRule type="expression" dxfId="46" priority="48" stopIfTrue="1">
      <formula>BQ48="Land"</formula>
    </cfRule>
  </conditionalFormatting>
  <conditionalFormatting sqref="BQ47">
    <cfRule type="expression" dxfId="45" priority="43" stopIfTrue="1">
      <formula>BQ48="Water"</formula>
    </cfRule>
    <cfRule type="expression" dxfId="44" priority="44" stopIfTrue="1">
      <formula>BG47="Water"</formula>
    </cfRule>
    <cfRule type="expression" dxfId="43" priority="45" stopIfTrue="1">
      <formula>BG47="Land"</formula>
    </cfRule>
    <cfRule type="expression" dxfId="42" priority="46" stopIfTrue="1">
      <formula>BQ48="Land"</formula>
    </cfRule>
  </conditionalFormatting>
  <conditionalFormatting sqref="BF47">
    <cfRule type="expression" dxfId="41" priority="39" stopIfTrue="1">
      <formula>BG47="Water"</formula>
    </cfRule>
    <cfRule type="expression" dxfId="40" priority="40" stopIfTrue="1">
      <formula>BF48="Water"</formula>
    </cfRule>
    <cfRule type="expression" dxfId="39" priority="41" stopIfTrue="1">
      <formula>BG47="Land"</formula>
    </cfRule>
    <cfRule type="expression" dxfId="38" priority="42" stopIfTrue="1">
      <formula>BF48="Land"</formula>
    </cfRule>
  </conditionalFormatting>
  <conditionalFormatting sqref="BH49:BO56">
    <cfRule type="expression" dxfId="37" priority="38">
      <formula>BH49&lt;&gt;""</formula>
    </cfRule>
  </conditionalFormatting>
  <conditionalFormatting sqref="BH61:BO61">
    <cfRule type="expression" dxfId="36" priority="37">
      <formula>BH61="City Wall"</formula>
    </cfRule>
  </conditionalFormatting>
  <conditionalFormatting sqref="BH70:BO70">
    <cfRule type="expression" dxfId="35" priority="36">
      <formula>BH70="City Wall"</formula>
    </cfRule>
  </conditionalFormatting>
  <conditionalFormatting sqref="BG62:BG69">
    <cfRule type="expression" dxfId="34" priority="35">
      <formula>BG62="City Wall"</formula>
    </cfRule>
  </conditionalFormatting>
  <conditionalFormatting sqref="BP62:BP69">
    <cfRule type="expression" dxfId="33" priority="34">
      <formula>BP62="City Wall"</formula>
    </cfRule>
  </conditionalFormatting>
  <conditionalFormatting sqref="BG61">
    <cfRule type="expression" dxfId="32" priority="32">
      <formula>BG62="City Wall"</formula>
    </cfRule>
    <cfRule type="expression" dxfId="31" priority="33">
      <formula>BH61="City Wall"</formula>
    </cfRule>
  </conditionalFormatting>
  <conditionalFormatting sqref="BP61">
    <cfRule type="expression" dxfId="30" priority="30">
      <formula>BP62="City Wall"</formula>
    </cfRule>
    <cfRule type="expression" dxfId="29" priority="31">
      <formula>BH61="City Wall"</formula>
    </cfRule>
  </conditionalFormatting>
  <conditionalFormatting sqref="BP70">
    <cfRule type="expression" dxfId="28" priority="28">
      <formula>BH70="City Wall"</formula>
    </cfRule>
    <cfRule type="expression" dxfId="27" priority="29">
      <formula>BP62="City Wall"</formula>
    </cfRule>
  </conditionalFormatting>
  <conditionalFormatting sqref="BG70">
    <cfRule type="expression" dxfId="26" priority="26">
      <formula>BG62="City Wall"</formula>
    </cfRule>
    <cfRule type="expression" dxfId="25" priority="27">
      <formula>BH70="City Wall"</formula>
    </cfRule>
  </conditionalFormatting>
  <conditionalFormatting sqref="BG71:BP71">
    <cfRule type="expression" dxfId="24" priority="24">
      <formula>BG71="Land"</formula>
    </cfRule>
    <cfRule type="expression" dxfId="23" priority="25">
      <formula>BG71="Water"</formula>
    </cfRule>
  </conditionalFormatting>
  <conditionalFormatting sqref="BQ71">
    <cfRule type="expression" dxfId="22" priority="20" stopIfTrue="1">
      <formula>BQ61="Water"</formula>
    </cfRule>
    <cfRule type="expression" dxfId="21" priority="21" stopIfTrue="1">
      <formula>BG71="Water"</formula>
    </cfRule>
    <cfRule type="expression" dxfId="20" priority="22" stopIfTrue="1">
      <formula>BG71="Land"</formula>
    </cfRule>
    <cfRule type="expression" dxfId="19" priority="23" stopIfTrue="1">
      <formula>BQ61="Land"</formula>
    </cfRule>
  </conditionalFormatting>
  <conditionalFormatting sqref="BG60:BP60">
    <cfRule type="expression" dxfId="18" priority="18" stopIfTrue="1">
      <formula>BG60="Water"</formula>
    </cfRule>
    <cfRule type="expression" dxfId="17" priority="19" stopIfTrue="1">
      <formula>BG60="Land"</formula>
    </cfRule>
  </conditionalFormatting>
  <conditionalFormatting sqref="BF71">
    <cfRule type="expression" dxfId="16" priority="14" stopIfTrue="1">
      <formula>BF61="Water"</formula>
    </cfRule>
    <cfRule type="expression" dxfId="15" priority="15" stopIfTrue="1">
      <formula>BG71="Water"</formula>
    </cfRule>
    <cfRule type="expression" dxfId="14" priority="16" stopIfTrue="1">
      <formula>BG71="Land"</formula>
    </cfRule>
    <cfRule type="expression" dxfId="13" priority="17" stopIfTrue="1">
      <formula>BF61="Land"</formula>
    </cfRule>
  </conditionalFormatting>
  <conditionalFormatting sqref="BF61:BF70">
    <cfRule type="expression" dxfId="12" priority="12" stopIfTrue="1">
      <formula>BF61="Water"</formula>
    </cfRule>
    <cfRule type="expression" dxfId="11" priority="13" stopIfTrue="1">
      <formula>BF61="Land"</formula>
    </cfRule>
  </conditionalFormatting>
  <conditionalFormatting sqref="BQ61:BQ70">
    <cfRule type="expression" dxfId="10" priority="10" stopIfTrue="1">
      <formula>BQ61="Water"</formula>
    </cfRule>
    <cfRule type="expression" dxfId="9" priority="11" stopIfTrue="1">
      <formula>BQ61="Land"</formula>
    </cfRule>
  </conditionalFormatting>
  <conditionalFormatting sqref="BQ60">
    <cfRule type="expression" dxfId="8" priority="6" stopIfTrue="1">
      <formula>BQ61="Water"</formula>
    </cfRule>
    <cfRule type="expression" dxfId="7" priority="7" stopIfTrue="1">
      <formula>BG60="Water"</formula>
    </cfRule>
    <cfRule type="expression" dxfId="6" priority="8" stopIfTrue="1">
      <formula>BG60="Land"</formula>
    </cfRule>
    <cfRule type="expression" dxfId="5" priority="9" stopIfTrue="1">
      <formula>BQ61="Land"</formula>
    </cfRule>
  </conditionalFormatting>
  <conditionalFormatting sqref="BF60">
    <cfRule type="expression" dxfId="4" priority="2" stopIfTrue="1">
      <formula>BG60="Water"</formula>
    </cfRule>
    <cfRule type="expression" dxfId="3" priority="3" stopIfTrue="1">
      <formula>BF61="Water"</formula>
    </cfRule>
    <cfRule type="expression" dxfId="2" priority="4" stopIfTrue="1">
      <formula>BG60="Land"</formula>
    </cfRule>
    <cfRule type="expression" dxfId="1" priority="5" stopIfTrue="1">
      <formula>BF61="Land"</formula>
    </cfRule>
  </conditionalFormatting>
  <conditionalFormatting sqref="BH62:BO69">
    <cfRule type="expression" dxfId="0" priority="1">
      <formula>BH62&lt;&gt;""</formula>
    </cfRule>
  </conditionalFormatting>
  <dataValidations count="3">
    <dataValidation type="list" allowBlank="1" showInputMessage="1" showErrorMessage="1" sqref="G19:P19 AT47:BC47 BD48:BD57 AS48:AS57 AT58:BC58 AT34:BC34 BD35:BD44 AS35:AS44 AT45:BC45 AT21:BC21 BD22:BD31 AS22:AS31 AT32:BC32 AT8:BC8 BD9:BD18 AS9:AS18 AT19:BC19 AG47:AP47 AQ48:AQ57 AF48:AF57 AG58:AP58 T47:AC47 AD48:AD57 S48:S57 T58:AC58 G47:P47 Q48:Q57 F48:F57 G58:P58 AG34:AP34 AQ35:AQ44 AF35:AF44 AG45:AP45 T34:AC34 AD35:AD44 S35:S44 T45:AC45 G34:P34 Q35:Q44 F35:F44 G45:P45 AG21:AP21 AQ22:AQ31 AF22:AF31 AG32:AP32 T21:AC21 AD22:AD31 S22:S31 T32:AC32 G21:P21 Q22:Q31 F22:F31 G32:P32 AG8:AP8 AQ9:AQ18 AF9:AF18 AG19:AP19 T8:AC8 AD9:AD18 S9:S18 T19:AC19 G8:P8 Q9:Q18 F9:F18 AT60:BC60 BD61:BD70 AS61:AS70 AT71:BC71 AG60:AP60 AQ61:AQ70 AF61:AF70 AG71:AP71 T60:AC60 AD61:AD70 S61:S70 T71:AC71 G60:P60 Q61:Q70 F61:F70 G71:P71 BG47:BP47 BQ48:BQ57 BF48:BF57 BG58:BP58 BG34:BP34 BQ35:BQ44 BF35:BF44 BG45:BP45 BG21:BP21 BQ22:BQ31 BF22:BF31 BG32:BP32 BG8:BP8 BQ9:BQ18 BF9:BF18 BG19:BP19 BG60:BP60 BQ61:BQ70 BF61:BF70 BG71:BP71">
      <formula1>$C$9:$C$10</formula1>
    </dataValidation>
    <dataValidation type="list" allowBlank="1" showInputMessage="1" showErrorMessage="1" sqref="H9:O9 BC49:BC56 AT49:AT56 AU57:BB57 AU48:BB48 BC36:BC43 AT36:AT43 AU44:BB44 AU35:BB35 BC23:BC30 AT23:AT30 AU31:BB31 AU22:BB22 BC10:BC17 AT10:AT17 AU18:BB18 AU9:BB9 AP49:AP56 AG49:AG56 AH57:AO57 AH48:AO48 AC49:AC56 T49:T56 U57:AB57 U48:AB48 P49:P56 G49:G56 H57:O57 H48:O48 AP36:AP43 AG36:AG43 AH44:AO44 AH35:AO35 AC36:AC43 T36:T43 U44:AB44 U35:AB35 P36:P43 G36:G43 H44:O44 H35:O35 AP23:AP30 AG23:AG30 AH31:AO31 AH22:AO22 AC23:AC30 T23:T30 U31:AB31 U22:AB22 P23:P30 G23:G30 H31:O31 H22:O22 AP10:AP17 AG10:AG17 AH18:AO18 AH9:AO9 AC10:AC17 T10:T17 U18:AB18 U9:AB9 P10:P17 G10:G17 H18:O18 BC62:BC69 AT62:AT69 AU70:BB70 AU61:BB61 AP62:AP69 AG62:AG69 AH70:AO70 AH61:AO61 AC62:AC69 T62:T69 U70:AB70 U61:AB61 P62:P69 G62:G69 H70:O70 H61:O61 BP49:BP56 BG49:BG56 BH57:BO57 BH48:BO48 BP36:BP43 BG36:BG43 BH44:BO44 BH35:BO35 BP23:BP30 BG23:BG30 BH31:BO31 BH22:BO22 BP10:BP17 BG10:BG17 BH18:BO18 BH9:BO9 BP62:BP69 BG62:BG69 BH70:BO70 BH61:BO61">
      <formula1>$B$9:$B$10</formula1>
    </dataValidation>
    <dataValidation type="list" allowBlank="1" showInputMessage="1" showErrorMessage="1" sqref="D10 AU49:AV50 AX49:AY50 AU52:AV53 AX52:AY53 BA49:BB50 BA52:BB53 AU55:AV56 AX55:AY56 BA55:BB56 AU36:AV37 AX36:AY37 AU39:AV40 AX39:AY40 BA36:BB37 BA39:BB40 AU42:AV43 AX42:AY43 BA42:BB43 AU23:AV24 AX23:AY24 AU26:AV27 AX26:AY27 BA23:BB24 BA26:BB27 AU29:AV30 AX29:AY30 BA29:BB30 AU10:AV11 AX10:AY11 AU13:AV14 AX13:AY14 BA10:BB11 BA13:BB14 AU16:AV17 AX16:AY17 BA16:BB17 AH49:AI50 AK49:AL50 AH52:AI53 AK52:AL53 AN49:AO50 AN52:AO53 AH55:AI56 AK55:AL56 AN55:AO56 U49:V50 X49:Y50 U52:V53 X52:Y53 AA49:AB50 AA52:AB53 U55:V56 X55:Y56 AA55:AB56 H49:I50 K49:L50 H52:I53 K52:L53 N49:O50 N52:O53 H55:I56 K55:L56 N55:O56 AH36:AI37 AK36:AL37 AH39:AI40 AK39:AL40 AN36:AO37 AN39:AO40 AH42:AI43 AK42:AL43 AN42:AO43 U36:V37 X36:Y37 U39:V40 X39:Y40 AA36:AB37 AA39:AB40 U42:V43 X42:Y43 AA42:AB43 H36:I37 K36:L37 H39:I40 K39:L40 N36:O37 N39:O40 H42:I43 K42:L43 N42:O43 AH23:AI24 AK23:AL24 AH26:AI27 AK26:AL27 AN23:AO24 AN26:AO27 AH29:AI30 AK29:AL30 AN29:AO30 U23:V24 X23:Y24 U26:V27 X26:Y27 AA23:AB24 AA26:AB27 U29:V30 X29:Y30 AA29:AB30 H23:I24 K23:L24 H26:I27 K26:L27 N23:O24 N26:O27 H29:I30 K29:L30 N29:O30 AH10:AI11 AK10:AL11 AH13:AI14 AK13:AL14 AN10:AO11 AN13:AO14 AH16:AI17 AK16:AL17 AN16:AO17 U10:V11 X10:Y11 U13:V14 X13:Y14 AA10:AB11 AA13:AB14 U16:V17 X16:Y17 AA16:AB17 H10:I11 K10:L11 H13:I14 K13:L14 N10:O11 N13:O14 H16:I17 K16:L17 N16:O17 AU62:AV63 AX62:AY63 AU65:AV66 AX65:AY66 BA62:BB63 BA65:BB66 AU68:AV69 AX68:AY69 BA68:BB69 AH62:AI63 AK62:AL63 AH65:AI66 AK65:AL66 AN62:AO63 AN65:AO66 AH68:AI69 AK68:AL69 AN68:AO69 U62:V63 X62:Y63 U65:V66 X65:Y66 AA62:AB63 AA65:AB66 U68:V69 X68:Y69 AA68:AB69 H62:I63 K62:L63 H65:I66 K65:L66 N62:O63 N65:O66 H68:I69 K68:L69 N68:O69 BH49:BI50 BK49:BL50 BH52:BI53 BK52:BL53 BN49:BO50 BN52:BO53 BH55:BI56 BK55:BL56 BN55:BO56 BH36:BI37 BK36:BL37 BH39:BI40 BK39:BL40 BN36:BO37 BN39:BO40 BH42:BI43 BK42:BL43 BN42:BO43 BH23:BI24 BK23:BL24 BH26:BI27 BK26:BL27 BN23:BO24 BN26:BO27 BH29:BI30 BK29:BL30 BN29:BO30 BH10:BI11 BK10:BL11 BH13:BI14 BK13:BL14 BN10:BO11 BN13:BO14 BH16:BI17 BK16:BL17 BN16:BO17 BH62:BI63 BK62:BL63 BH65:BI66 BK65:BL66 BN62:BO63 BN65:BO66 BH68:BI69 BK68:BL69 BN68:BO69">
      <formula1>$A$9:$A$65</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horizontalDpi="4294967294" verticalDpi="0" r:id="rId1"/>
  <headerFooter>
    <oddHeader>&amp;A</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449"/>
  <sheetViews>
    <sheetView zoomScale="50" zoomScaleNormal="50" zoomScaleSheetLayoutView="80" workbookViewId="0">
      <selection activeCell="G176" sqref="G176"/>
    </sheetView>
  </sheetViews>
  <sheetFormatPr defaultRowHeight="15" x14ac:dyDescent="0.25"/>
  <cols>
    <col min="1" max="1" width="5.5703125" style="153" customWidth="1"/>
    <col min="2" max="2" width="29.28515625" style="153" customWidth="1"/>
    <col min="3" max="3" width="53.28515625" style="153" customWidth="1"/>
    <col min="4" max="4" width="29.28515625" style="153" customWidth="1"/>
    <col min="5" max="5" width="26.5703125" style="153" customWidth="1"/>
    <col min="6" max="6" width="56.85546875" style="161" customWidth="1"/>
    <col min="7" max="7" width="44.42578125" style="161" customWidth="1"/>
    <col min="8" max="8" width="47.5703125" style="153" customWidth="1"/>
    <col min="9" max="9" width="62.85546875" style="161" customWidth="1"/>
    <col min="10" max="10" width="4.42578125" style="153" customWidth="1"/>
    <col min="11" max="11" width="25" style="153" customWidth="1"/>
    <col min="12" max="12" width="62.28515625" style="161" customWidth="1"/>
    <col min="13" max="13" width="21.7109375" style="153" bestFit="1" customWidth="1"/>
    <col min="14" max="14" width="21.7109375" style="153" customWidth="1"/>
    <col min="15" max="15" width="6" style="153" customWidth="1"/>
    <col min="16" max="16" width="25.28515625" style="153" bestFit="1" customWidth="1"/>
    <col min="17" max="16384" width="9.140625" style="153"/>
  </cols>
  <sheetData>
    <row r="1" spans="1:12" x14ac:dyDescent="0.25">
      <c r="B1" s="204" t="s">
        <v>327</v>
      </c>
      <c r="C1" s="205">
        <f ca="1">RANDBETWEEN(1,100)</f>
        <v>36</v>
      </c>
      <c r="D1" s="205">
        <f ca="1">RANDBETWEEN(1,4)</f>
        <v>4</v>
      </c>
      <c r="E1" s="205" t="str">
        <f ca="1">IF($C$1&lt;26,VLOOKUP($D$1,$A$5:$E$8,4),"NO EVENT THIS MONTH")</f>
        <v>NO EVENT THIS MONTH</v>
      </c>
      <c r="F1" s="206" t="str">
        <f ca="1">IF($C$1&lt;26,VLOOKUP($D$1,$A$5:$E$8,5),"")</f>
        <v/>
      </c>
    </row>
    <row r="2" spans="1:12" ht="90.75" thickBot="1" x14ac:dyDescent="0.3">
      <c r="B2" s="179" t="s">
        <v>328</v>
      </c>
      <c r="C2" s="190">
        <f ca="1">RANDBETWEEN(1,100)</f>
        <v>92</v>
      </c>
      <c r="D2" s="190">
        <f ca="1">RANDBETWEEN(1,4)</f>
        <v>2</v>
      </c>
      <c r="E2" s="190" t="str">
        <f ca="1">IF($C$2&lt;76,VLOOKUP($D$2,$A$5:$E$8,4),"NO EVENT THIS MONTH")</f>
        <v>NO EVENT THIS MONTH</v>
      </c>
      <c r="F2" s="207" t="str">
        <f ca="1">IF($C$2&lt;76,VLOOKUP($D$2,$A$5:$E$8,5),"")</f>
        <v/>
      </c>
    </row>
    <row r="3" spans="1:12" ht="15.75" thickBot="1" x14ac:dyDescent="0.3"/>
    <row r="4" spans="1:12" s="159" customFormat="1" x14ac:dyDescent="0.25">
      <c r="A4" s="176"/>
      <c r="B4" s="186" t="s">
        <v>282</v>
      </c>
      <c r="C4" s="186"/>
      <c r="D4" s="186" t="s">
        <v>326</v>
      </c>
      <c r="E4" s="177"/>
      <c r="F4" s="160"/>
      <c r="G4" s="160"/>
      <c r="I4" s="160"/>
      <c r="L4" s="160"/>
    </row>
    <row r="5" spans="1:12" x14ac:dyDescent="0.25">
      <c r="A5" s="178">
        <v>1</v>
      </c>
      <c r="B5" s="188" t="s">
        <v>294</v>
      </c>
      <c r="C5" s="188">
        <f ca="1">RANDBETWEEN(1,12)</f>
        <v>4</v>
      </c>
      <c r="D5" s="188" t="str">
        <f ca="1">VLOOKUP($C$5,$J$13:$L$24,2)</f>
        <v xml:space="preserve">Bandit Activity </v>
      </c>
      <c r="E5" s="168" t="str">
        <f ca="1">VLOOKUP($C$5,$J$13:$L$24,3)</f>
        <v>(CONTINUOUS) Bandits are preying upon those who travel through your kingdom. Make a Stability check. If you succeed, your kingdom’s defenses stop the banditry before it causes problems. If you fail, the bandits reduce your kingdom’s Treasury total by 3 BP.</v>
      </c>
      <c r="F5" s="161" t="s">
        <v>280</v>
      </c>
    </row>
    <row r="6" spans="1:12" x14ac:dyDescent="0.25">
      <c r="A6" s="178">
        <v>2</v>
      </c>
      <c r="B6" s="188" t="s">
        <v>295</v>
      </c>
      <c r="C6" s="188">
        <f ca="1">RANDBETWEEN(1,6)</f>
        <v>3</v>
      </c>
      <c r="D6" s="188" t="str">
        <f ca="1">VLOOKUP($C$6,A13:C18,2)</f>
        <v>Monster Retribution</v>
      </c>
      <c r="E6" s="168" t="str">
        <f ca="1">VLOOKUP($C$6,$A$13:$C$18,3)</f>
        <v>An adventuring party kills a few of the local monsters before leaving the area. Angered by this, the remaining monsters attack a town of your. Two (2) random buildings in your town are damaged and are unusable until repaired (1/2 the BP to build a new one). If the city has a wall, the wall must be one of the two buildings.</v>
      </c>
      <c r="F6" s="161" t="s">
        <v>280</v>
      </c>
    </row>
    <row r="7" spans="1:12" x14ac:dyDescent="0.25">
      <c r="A7" s="178">
        <v>3</v>
      </c>
      <c r="B7" s="188" t="s">
        <v>296</v>
      </c>
      <c r="C7" s="188">
        <f t="shared" ref="C7:C8" ca="1" si="0">RANDBETWEEN(1,12)</f>
        <v>2</v>
      </c>
      <c r="D7" s="188" t="str">
        <f ca="1">VLOOKUP($C$7,$G$13:$I$24,2)</f>
        <v>Child Bandits</v>
      </c>
      <c r="E7" s="168" t="str">
        <f ca="1">VLOOKUP($C$7,$G$13:$I$24,3)</f>
        <v>(NO MARSHAL = CONTINUOUS) A small group of bandits have been harassing some local farms. Your Marshal lays a trap and catches the bandits and discovers they are a group of runaway kids. They are returned home and punished to community service for a month. Reduce Consumption by 1 BP (minimum 0) until your next Event phase.</v>
      </c>
      <c r="F7" s="161" t="s">
        <v>280</v>
      </c>
    </row>
    <row r="8" spans="1:12" ht="15.75" thickBot="1" x14ac:dyDescent="0.3">
      <c r="A8" s="179">
        <v>4</v>
      </c>
      <c r="B8" s="190" t="s">
        <v>292</v>
      </c>
      <c r="C8" s="190">
        <f t="shared" ca="1" si="0"/>
        <v>6</v>
      </c>
      <c r="D8" s="190" t="str">
        <f ca="1">VLOOKUP($C$8,$D$13:$F$24,2)</f>
        <v xml:space="preserve">Natural Blessing </v>
      </c>
      <c r="E8" s="169" t="str">
        <f ca="1">VLOOKUP($C$8,$D$13:$F$24,3)</f>
        <v>A natural event, such as a bloom of rare and beautiful wildflowers or good omens in the stars, raises your kingdom’s morale. You gain a +4 bonus on Stability checks until your next Event phase.</v>
      </c>
      <c r="F8" s="161" t="s">
        <v>280</v>
      </c>
    </row>
    <row r="9" spans="1:12" x14ac:dyDescent="0.25">
      <c r="A9" s="153" t="s">
        <v>280</v>
      </c>
    </row>
    <row r="11" spans="1:12" ht="15.75" thickBot="1" x14ac:dyDescent="0.3"/>
    <row r="12" spans="1:12" x14ac:dyDescent="0.25">
      <c r="A12" s="176"/>
      <c r="B12" s="186" t="s">
        <v>281</v>
      </c>
      <c r="C12" s="192" t="s">
        <v>329</v>
      </c>
      <c r="D12" s="176"/>
      <c r="E12" s="186" t="s">
        <v>292</v>
      </c>
      <c r="F12" s="187" t="s">
        <v>329</v>
      </c>
      <c r="G12" s="251"/>
      <c r="H12" s="186" t="s">
        <v>293</v>
      </c>
      <c r="I12" s="187" t="s">
        <v>329</v>
      </c>
      <c r="J12" s="176"/>
      <c r="K12" s="186" t="s">
        <v>294</v>
      </c>
      <c r="L12" s="187" t="s">
        <v>329</v>
      </c>
    </row>
    <row r="13" spans="1:12" ht="105" x14ac:dyDescent="0.25">
      <c r="A13" s="178">
        <v>1</v>
      </c>
      <c r="B13" s="188" t="s">
        <v>322</v>
      </c>
      <c r="C13" s="193" t="str">
        <f ca="1">CONCATENATE("An adventuring party passes through your area. They spend money at the local taverns, purchase new weapons and get rid of some minor monster troubles. Reduce your Unrest by 1, add ",RANDBETWEEN(1,4), " BP to the kingdom’s Treasury and reduce the number of available two minor magic item (determined randomly).")</f>
        <v>An adventuring party passes through your area. They spend money at the local taverns, purchase new weapons and get rid of some minor monster troubles. Reduce your Unrest by 1, add 3 BP to the kingdom’s Treasury and reduce the number of available two minor magic item (determined randomly).</v>
      </c>
      <c r="D13" s="178">
        <v>1</v>
      </c>
      <c r="E13" s="188" t="s">
        <v>300</v>
      </c>
      <c r="F13" s="189" t="str">
        <f ca="1">CONCATENATE("Trade is booming in your kingdom! Increase your Treasury by ",F45," BP.")</f>
        <v>Trade is booming in your kingdom! Increase your Treasury by 3 BP.</v>
      </c>
      <c r="G13" s="252">
        <v>1</v>
      </c>
      <c r="H13" s="188" t="s">
        <v>312</v>
      </c>
      <c r="I13" s="196" t="str">
        <f ca="1">CONCATENATE("The ",VLOOKUP(RANDBETWEEN(1,11),B37:C47,2)," is the target of an assassination attempt. If the target is a PC,"," you should play out the attempt, using an assassin of a CR equal to the targeted PC’s level + 1. If the target is an NPC, you can simply make a Stability check to negate the attempt. If the leader is assassinated, the nation gains ",RANDBETWEEN(1,6)," Unrest points and immediately suffers the penalties for not having a leader in that role until the role is filled during a subsequent Improvement phase.")</f>
        <v>The General is the target of an assassination attempt. If the target is a PC, you should play out the attempt, using an assassin of a CR equal to the targeted PC’s level + 1. If the target is an NPC, you can simply make a Stability check to negate the attempt. If the leader is assassinated, the nation gains 4 Unrest points and immediately suffers the penalties for not having a leader in that role until the role is filled during a subsequent Improvement phase.</v>
      </c>
      <c r="J13" s="178">
        <v>1</v>
      </c>
      <c r="K13" s="188" t="s">
        <v>314</v>
      </c>
      <c r="L13" s="189" t="s">
        <v>332</v>
      </c>
    </row>
    <row r="14" spans="1:12" ht="90" x14ac:dyDescent="0.25">
      <c r="A14" s="178">
        <v>2</v>
      </c>
      <c r="B14" s="188" t="s">
        <v>323</v>
      </c>
      <c r="C14" s="193" t="s">
        <v>330</v>
      </c>
      <c r="D14" s="178">
        <v>2</v>
      </c>
      <c r="E14" s="188" t="s">
        <v>297</v>
      </c>
      <c r="F14" s="195" t="str">
        <f ca="1">CONCATENATE("A resource produces an unexpected windfall. Increase your Treasury by ",RANDBETWEEN(1,4)," BP.")</f>
        <v>A resource produces an unexpected windfall. Increase your Treasury by 2 BP.</v>
      </c>
      <c r="G14" s="252">
        <v>2</v>
      </c>
      <c r="H14" s="188" t="s">
        <v>399</v>
      </c>
      <c r="I14" s="196" t="s">
        <v>346</v>
      </c>
      <c r="J14" s="178">
        <v>2</v>
      </c>
      <c r="K14" s="188" t="s">
        <v>357</v>
      </c>
      <c r="L14" s="189" t="s">
        <v>356</v>
      </c>
    </row>
    <row r="15" spans="1:12" ht="90" x14ac:dyDescent="0.25">
      <c r="A15" s="178">
        <v>3</v>
      </c>
      <c r="B15" s="188" t="s">
        <v>324</v>
      </c>
      <c r="C15" s="193" t="s">
        <v>345</v>
      </c>
      <c r="D15" s="178">
        <v>3</v>
      </c>
      <c r="E15" s="188" t="s">
        <v>298</v>
      </c>
      <c r="F15" s="189" t="s">
        <v>1180</v>
      </c>
      <c r="G15" s="252">
        <v>3</v>
      </c>
      <c r="H15" s="188" t="s">
        <v>311</v>
      </c>
      <c r="I15" s="196" t="str">
        <f ca="1">CONCATENATE("Nobles in your cities are bickering. Unless you can smooth over ruffled feathers with a Loyalty check, the feud increases Unrest by ",RANDBETWEEN(1,6),".")</f>
        <v>Nobles in your cities are bickering. Unless you can smooth over ruffled feathers with a Loyalty check, the feud increases Unrest by 2.</v>
      </c>
      <c r="J15" s="178">
        <v>3</v>
      </c>
      <c r="K15" s="188" t="s">
        <v>315</v>
      </c>
      <c r="L15" s="196" t="s">
        <v>333</v>
      </c>
    </row>
    <row r="16" spans="1:12" ht="105.75" thickBot="1" x14ac:dyDescent="0.3">
      <c r="A16" s="179">
        <v>4</v>
      </c>
      <c r="B16" s="190" t="s">
        <v>325</v>
      </c>
      <c r="C16" s="194" t="s">
        <v>331</v>
      </c>
      <c r="D16" s="178">
        <v>4</v>
      </c>
      <c r="E16" s="188" t="s">
        <v>299</v>
      </c>
      <c r="F16" s="189" t="s">
        <v>335</v>
      </c>
      <c r="G16" s="252">
        <v>4</v>
      </c>
      <c r="H16" s="188" t="s">
        <v>310</v>
      </c>
      <c r="I16" s="197" t="s">
        <v>355</v>
      </c>
      <c r="J16" s="178">
        <v>4</v>
      </c>
      <c r="K16" s="188" t="s">
        <v>316</v>
      </c>
      <c r="L16" s="196" t="str">
        <f ca="1">CONCATENATE("(CONTINUOUS) Bandits are preying upon those who travel through your kingdom. Make a Stability check. If you succeed, your kingdom’s defenses stop the banditry before it causes problems. If you fail, the bandits reduce your kingdom’s Treasury total by ",F45," BP.")</f>
        <v>(CONTINUOUS) Bandits are preying upon those who travel through your kingdom. Make a Stability check. If you succeed, your kingdom’s defenses stop the banditry before it causes problems. If you fail, the bandits reduce your kingdom’s Treasury total by 3 BP.</v>
      </c>
    </row>
    <row r="17" spans="1:14" ht="105.75" thickBot="1" x14ac:dyDescent="0.3">
      <c r="A17" s="153">
        <v>5</v>
      </c>
      <c r="B17" s="153" t="s">
        <v>1177</v>
      </c>
      <c r="C17" s="161" t="str">
        <f ca="1">CONCATENATE("A group of adventurers enters the city in search of mercenaries and porters to assist in their quest. Unfortunately they resort to force to get the men they need, increasing Unrest by ",RANDBETWEEN(1,4),".")</f>
        <v>A group of adventurers enters the city in search of mercenaries and porters to assist in their quest. Unfortunately they resort to force to get the men they need, increasing Unrest by 1.</v>
      </c>
      <c r="D17" s="178">
        <v>5</v>
      </c>
      <c r="E17" s="188" t="s">
        <v>301</v>
      </c>
      <c r="F17" s="189" t="s">
        <v>336</v>
      </c>
      <c r="G17" s="252">
        <v>5</v>
      </c>
      <c r="H17" s="188" t="s">
        <v>313</v>
      </c>
      <c r="I17" s="196" t="s">
        <v>347</v>
      </c>
      <c r="J17" s="201">
        <v>5</v>
      </c>
      <c r="K17" s="202" t="s">
        <v>317</v>
      </c>
      <c r="L17" s="203" t="str">
        <f ca="1">CONCATENATE("A fire, storm, earthquake, flood, sabotage, or other disaster strikes! ",IF(RANDBETWEEN(1,6)&lt;6,M17,N17)," Make a Stability check for each affected city block—every failure results in that city block’s destruction"," (this Stability check represents your kingdom’s ability to prepare for or react to the disaster as much as it represents the structure’s ability to withstand damage).")</f>
        <v>A fire, storm, earthquake, flood, sabotage, or other disaster strikes! The disaster is localized and affects only 4 city block(s) in one city.  Make a Stability check for each affected city block—every failure results in that city block’s destruction (this Stability check represents your kingdom’s ability to prepare for or react to the disaster as much as it represents the structure’s ability to withstand damage).</v>
      </c>
      <c r="M17" s="200" t="str">
        <f ca="1">CONCATENATE("The disaster is localized and affects only ",RANDBETWEEN(1,4)," city block(s) in one city. ")</f>
        <v xml:space="preserve">The disaster is localized and affects only 4 city block(s) in one city. </v>
      </c>
      <c r="N17" s="167" t="str">
        <f ca="1">CONCATENATE("The disaster is widespread and affects ",RANDBETWEEN(1,6)," city block(s) in each of your kingdom’s cities.")</f>
        <v>The disaster is widespread and affects 1 city block(s) in each of your kingdom’s cities.</v>
      </c>
    </row>
    <row r="18" spans="1:14" ht="75" x14ac:dyDescent="0.25">
      <c r="A18" s="153">
        <v>6</v>
      </c>
      <c r="B18" s="153" t="s">
        <v>1179</v>
      </c>
      <c r="C18" s="161" t="s">
        <v>1178</v>
      </c>
      <c r="D18" s="178">
        <v>6</v>
      </c>
      <c r="E18" s="188" t="s">
        <v>302</v>
      </c>
      <c r="F18" s="189" t="s">
        <v>338</v>
      </c>
      <c r="G18" s="252">
        <v>6</v>
      </c>
      <c r="H18" s="188" t="s">
        <v>309</v>
      </c>
      <c r="I18" s="198" t="s">
        <v>348</v>
      </c>
      <c r="J18" s="178">
        <v>6</v>
      </c>
      <c r="K18" s="188" t="s">
        <v>318</v>
      </c>
      <c r="L18" s="196" t="s">
        <v>334</v>
      </c>
    </row>
    <row r="19" spans="1:14" ht="150" x14ac:dyDescent="0.25">
      <c r="D19" s="178">
        <v>7</v>
      </c>
      <c r="E19" s="188" t="s">
        <v>303</v>
      </c>
      <c r="F19" s="189" t="str">
        <f ca="1">CONCATENATE("A small group of indigenous creatures joins your kingdom and submits to your rule. Reduce Unrest by 2 and gain ",F45," BP.")</f>
        <v>A small group of indigenous creatures joins your kingdom and submits to your rule. Reduce Unrest by 2 and gain 3 BP.</v>
      </c>
      <c r="G19" s="252">
        <v>7</v>
      </c>
      <c r="H19" s="188" t="s">
        <v>308</v>
      </c>
      <c r="I19" s="196" t="s">
        <v>349</v>
      </c>
      <c r="J19" s="178">
        <v>7</v>
      </c>
      <c r="K19" s="188" t="s">
        <v>319</v>
      </c>
      <c r="L19" s="196" t="s">
        <v>337</v>
      </c>
    </row>
    <row r="20" spans="1:14" ht="105" x14ac:dyDescent="0.25">
      <c r="D20" s="178">
        <v>8</v>
      </c>
      <c r="E20" s="188" t="s">
        <v>304</v>
      </c>
      <c r="F20" s="189" t="str">
        <f ca="1">CONCATENATE("One of your kingdom’s citizens creates an artistic masterpiece, constructs a particularly impressive building, or otherwise brings fame to your kingdom. You gain ",RANDBETWEEN(1,6)," BP and a +4 bonus on Economy checks until your next Event phase. Reduce Unrest by 2.")</f>
        <v>One of your kingdom’s citizens creates an artistic masterpiece, constructs a particularly impressive building, or otherwise brings fame to your kingdom. You gain 2 BP and a +4 bonus on Economy checks until your next Event phase. Reduce Unrest by 2.</v>
      </c>
      <c r="G20" s="252">
        <v>8</v>
      </c>
      <c r="H20" s="188" t="s">
        <v>307</v>
      </c>
      <c r="I20" s="196" t="s">
        <v>350</v>
      </c>
      <c r="J20" s="178">
        <v>8</v>
      </c>
      <c r="K20" s="188" t="s">
        <v>320</v>
      </c>
      <c r="L20" s="196" t="str">
        <f ca="1">CONCATENATE("Bug swarms (spiders, locusts, etc) have become a problem for nearby farms. Up to ",RANDBETWEEN(1,8)," farm hexes are affected. Make a Stability check for each hex to determine if they were able to protect the crops and fend off the invading pests in that area."," Success on the Stability check halves the Consumption benefit of the farm (from 2 to 1); failure for that hex means that the farm provides no Consumption benefit.")</f>
        <v>Bug swarms (spiders, locusts, etc) have become a problem for nearby farms. Up to 3 farm hexes are affected. Make a Stability check for each hex to determine if they were able to protect the crops and fend off the invading pests in that area. Success on the Stability check halves the Consumption benefit of the farm (from 2 to 1); failure for that hex means that the farm provides no Consumption benefit.</v>
      </c>
    </row>
    <row r="21" spans="1:14" ht="90" x14ac:dyDescent="0.25">
      <c r="D21" s="178">
        <v>9</v>
      </c>
      <c r="E21" s="188" t="s">
        <v>305</v>
      </c>
      <c r="F21" s="189" t="str">
        <f ca="1">CONCATENATE("A sudden absence of political machinations coincides with an increase in public approval. Reduce Unrest by ",RANDBETWEEN(1,6),".")</f>
        <v>A sudden absence of political machinations coincides with an increase in public approval. Reduce Unrest by 3.</v>
      </c>
      <c r="G21" s="252">
        <v>9</v>
      </c>
      <c r="H21" s="188" t="s">
        <v>306</v>
      </c>
      <c r="I21" s="196" t="s">
        <v>339</v>
      </c>
      <c r="J21" s="178">
        <v>9</v>
      </c>
      <c r="K21" s="188" t="s">
        <v>321</v>
      </c>
      <c r="L21" s="196" t="str">
        <f ca="1">CONCATENATE("(CONTINUOUS, NO CITIES = NON-EVENT) A deadly contagion strikes your kingdom! Choose a hex containing a city in your kingdom—this is where the plague strikes. Make a Stability check to curtail the plague’s spread. If you fail, increase Unrest by ",RANDBETWEEN(1,6)," and reduce your treasury by ",RANDBETWEEN(1,6)," BP. A plague-stricken city cannot build new structures. ")</f>
        <v xml:space="preserve">(CONTINUOUS, NO CITIES = NON-EVENT) A deadly contagion strikes your kingdom! Choose a hex containing a city in your kingdom—this is where the plague strikes. Make a Stability check to curtail the plague’s spread. If you fail, increase Unrest by 5 and reduce your treasury by 3 BP. A plague-stricken city cannot build new structures. </v>
      </c>
    </row>
    <row r="22" spans="1:14" ht="75" x14ac:dyDescent="0.25">
      <c r="D22" s="178">
        <v>10</v>
      </c>
      <c r="E22" s="188" t="s">
        <v>283</v>
      </c>
      <c r="F22" s="189" t="s">
        <v>341</v>
      </c>
      <c r="G22" s="252">
        <v>10</v>
      </c>
      <c r="H22" s="188" t="s">
        <v>286</v>
      </c>
      <c r="I22" s="196" t="s">
        <v>342</v>
      </c>
      <c r="J22" s="178">
        <v>10</v>
      </c>
      <c r="K22" s="188" t="s">
        <v>289</v>
      </c>
      <c r="L22" s="196" t="s">
        <v>340</v>
      </c>
    </row>
    <row r="23" spans="1:14" ht="60" x14ac:dyDescent="0.25">
      <c r="D23" s="178">
        <v>11</v>
      </c>
      <c r="E23" s="188" t="s">
        <v>284</v>
      </c>
      <c r="F23" s="189" t="str">
        <f ca="1">CONCATENATE("A quirk of your Ruler’s fashion becomes all the rage among the nobility in neighboring kingdoms. As such, tradesmen pass through your kingdom to learn how to copy the style, increasing your Treasury by ",RANDBETWEEN(1,6)," BP.")</f>
        <v>A quirk of your Ruler’s fashion becomes all the rage among the nobility in neighboring kingdoms. As such, tradesmen pass through your kingdom to learn how to copy the style, increasing your Treasury by 1 BP.</v>
      </c>
      <c r="G23" s="252">
        <v>11</v>
      </c>
      <c r="H23" s="188" t="s">
        <v>287</v>
      </c>
      <c r="I23" s="196" t="s">
        <v>351</v>
      </c>
      <c r="J23" s="178">
        <v>11</v>
      </c>
      <c r="K23" s="188" t="s">
        <v>290</v>
      </c>
      <c r="L23" s="196" t="s">
        <v>352</v>
      </c>
    </row>
    <row r="24" spans="1:14" ht="90.75" thickBot="1" x14ac:dyDescent="0.3">
      <c r="D24" s="179">
        <v>12</v>
      </c>
      <c r="E24" s="190" t="s">
        <v>285</v>
      </c>
      <c r="F24" s="191" t="str">
        <f ca="1">CONCATENATE("A celebrity from elsewhere visits your kingdom, causing a sudden influx of visitors and spending. Increase the Treasury by ",G45," BP.")</f>
        <v>A celebrity from elsewhere visits your kingdom, causing a sudden influx of visitors and spending. Increase the Treasury by 6 BP.</v>
      </c>
      <c r="G24" s="253">
        <v>12</v>
      </c>
      <c r="H24" s="190" t="s">
        <v>288</v>
      </c>
      <c r="I24" s="199" t="str">
        <f ca="1">CONCATENATE("(NO GRAND DIPLOMAT = NON-EVENT) The Grand Diplomat secures a trade agreement with a neighboring kingdom that you are currently not at war with. Roll an Economy check. If you succeed, add ",RANDBETWEEN(2,4)," BP to your kingdom’s Treasury. If you fail, add 1 BP to your kingdom’s Treasury.")</f>
        <v>(NO GRAND DIPLOMAT = NON-EVENT) The Grand Diplomat secures a trade agreement with a neighboring kingdom that you are currently not at war with. Roll an Economy check. If you succeed, add 2 BP to your kingdom’s Treasury. If you fail, add 1 BP to your kingdom’s Treasury.</v>
      </c>
      <c r="J24" s="179">
        <v>12</v>
      </c>
      <c r="K24" s="190" t="s">
        <v>291</v>
      </c>
      <c r="L24" s="199" t="str">
        <f ca="1">CONCATENATE("(CONTINUOUS) Zombies rise up in random city and attack. If the PCs don’t set out to defeat the zombies, a Stability check removes the threat."," The DC of the check is increased by 1 for every graveyard the city possesses beyond the first. If you fail, increase Unrest by ",RANDBETWEEN(1,6)," and reduce your treasury by ",RANDBETWEEN(1,6)," BP. A zombie riddled city cannot build new structures.")</f>
        <v>(CONTINUOUS) Zombies rise up in random city and attack. If the PCs don’t set out to defeat the zombies, a Stability check removes the threat. The DC of the check is increased by 1 for every graveyard the city possesses beyond the first. If you fail, increase Unrest by 4 and reduce your treasury by 3 BP. A zombie riddled city cannot build new structures.</v>
      </c>
    </row>
    <row r="35" spans="2:12" ht="15.75" thickBot="1" x14ac:dyDescent="0.3"/>
    <row r="36" spans="2:12" x14ac:dyDescent="0.25">
      <c r="B36" s="176" t="s">
        <v>354</v>
      </c>
      <c r="C36" s="177" t="s">
        <v>353</v>
      </c>
      <c r="F36" s="170" t="s">
        <v>343</v>
      </c>
      <c r="G36" s="170" t="s">
        <v>344</v>
      </c>
      <c r="I36" s="153"/>
      <c r="J36" s="161"/>
      <c r="L36" s="153"/>
    </row>
    <row r="37" spans="2:12" x14ac:dyDescent="0.25">
      <c r="B37" s="178">
        <v>1</v>
      </c>
      <c r="C37" s="168" t="s">
        <v>72</v>
      </c>
      <c r="F37" s="171">
        <f ca="1">RANDBETWEEN(1,6)</f>
        <v>3</v>
      </c>
      <c r="G37" s="171">
        <f ca="1">RANDBETWEEN(1,6)</f>
        <v>3</v>
      </c>
      <c r="I37" s="153"/>
      <c r="J37" s="161"/>
      <c r="L37" s="153"/>
    </row>
    <row r="38" spans="2:12" x14ac:dyDescent="0.25">
      <c r="B38" s="178">
        <v>2</v>
      </c>
      <c r="C38" s="168" t="s">
        <v>73</v>
      </c>
      <c r="F38" s="171" t="str">
        <f ca="1">IF(F37=6,RANDBETWEEN(1,6),"")</f>
        <v/>
      </c>
      <c r="G38" s="171" t="str">
        <f ca="1">IF(G37=6,RANDBETWEEN(1,6),"")</f>
        <v/>
      </c>
      <c r="I38" s="153"/>
      <c r="J38" s="161"/>
      <c r="L38" s="153"/>
    </row>
    <row r="39" spans="2:12" x14ac:dyDescent="0.25">
      <c r="B39" s="178">
        <v>3</v>
      </c>
      <c r="C39" s="168" t="s">
        <v>74</v>
      </c>
      <c r="F39" s="171" t="str">
        <f t="shared" ref="F39:G44" ca="1" si="1">IF(F38=6,RANDBETWEEN(1,6),"")</f>
        <v/>
      </c>
      <c r="G39" s="171" t="str">
        <f t="shared" ca="1" si="1"/>
        <v/>
      </c>
      <c r="I39" s="153"/>
      <c r="J39" s="161"/>
      <c r="L39" s="153"/>
    </row>
    <row r="40" spans="2:12" x14ac:dyDescent="0.25">
      <c r="B40" s="178">
        <v>4</v>
      </c>
      <c r="C40" s="168" t="s">
        <v>75</v>
      </c>
      <c r="F40" s="171" t="str">
        <f t="shared" ca="1" si="1"/>
        <v/>
      </c>
      <c r="G40" s="171" t="str">
        <f t="shared" ca="1" si="1"/>
        <v/>
      </c>
      <c r="I40" s="153"/>
      <c r="J40" s="161"/>
      <c r="L40" s="153"/>
    </row>
    <row r="41" spans="2:12" x14ac:dyDescent="0.25">
      <c r="B41" s="178">
        <v>5</v>
      </c>
      <c r="C41" s="168" t="s">
        <v>76</v>
      </c>
      <c r="F41" s="171" t="str">
        <f t="shared" ca="1" si="1"/>
        <v/>
      </c>
      <c r="G41" s="171" t="str">
        <f t="shared" ca="1" si="1"/>
        <v/>
      </c>
      <c r="I41" s="153"/>
      <c r="J41" s="161"/>
      <c r="L41" s="153"/>
    </row>
    <row r="42" spans="2:12" x14ac:dyDescent="0.25">
      <c r="B42" s="178">
        <v>6</v>
      </c>
      <c r="C42" s="168" t="s">
        <v>77</v>
      </c>
      <c r="F42" s="171" t="str">
        <f t="shared" ca="1" si="1"/>
        <v/>
      </c>
      <c r="G42" s="171" t="str">
        <f t="shared" ca="1" si="1"/>
        <v/>
      </c>
      <c r="I42" s="153"/>
      <c r="J42" s="161"/>
      <c r="L42" s="153"/>
    </row>
    <row r="43" spans="2:12" x14ac:dyDescent="0.25">
      <c r="B43" s="178">
        <v>7</v>
      </c>
      <c r="C43" s="168" t="s">
        <v>78</v>
      </c>
      <c r="F43" s="171" t="str">
        <f t="shared" ca="1" si="1"/>
        <v/>
      </c>
      <c r="G43" s="171" t="str">
        <f t="shared" ca="1" si="1"/>
        <v/>
      </c>
      <c r="I43" s="153"/>
      <c r="J43" s="161"/>
      <c r="L43" s="153"/>
    </row>
    <row r="44" spans="2:12" ht="15.75" thickBot="1" x14ac:dyDescent="0.3">
      <c r="B44" s="178">
        <v>8</v>
      </c>
      <c r="C44" s="168" t="s">
        <v>71</v>
      </c>
      <c r="F44" s="172" t="str">
        <f t="shared" ca="1" si="1"/>
        <v/>
      </c>
      <c r="G44" s="172" t="str">
        <f t="shared" ca="1" si="1"/>
        <v/>
      </c>
      <c r="I44" s="153"/>
      <c r="J44" s="161"/>
      <c r="L44" s="153"/>
    </row>
    <row r="45" spans="2:12" ht="15.75" thickBot="1" x14ac:dyDescent="0.3">
      <c r="B45" s="178">
        <v>9</v>
      </c>
      <c r="C45" s="168" t="s">
        <v>79</v>
      </c>
      <c r="F45" s="173">
        <f ca="1">SUM(F37:F44)</f>
        <v>3</v>
      </c>
      <c r="G45" s="173">
        <f ca="1">SUM(F37:G44)</f>
        <v>6</v>
      </c>
    </row>
    <row r="46" spans="2:12" x14ac:dyDescent="0.25">
      <c r="B46" s="178">
        <v>10</v>
      </c>
      <c r="C46" s="168" t="s">
        <v>80</v>
      </c>
    </row>
    <row r="47" spans="2:12" ht="15.75" thickBot="1" x14ac:dyDescent="0.3">
      <c r="B47" s="179">
        <v>11</v>
      </c>
      <c r="C47" s="169" t="s">
        <v>81</v>
      </c>
    </row>
    <row r="49" spans="2:14" x14ac:dyDescent="0.25">
      <c r="B49" s="159" t="s">
        <v>401</v>
      </c>
    </row>
    <row r="50" spans="2:14" ht="60" x14ac:dyDescent="0.25">
      <c r="B50" s="153" t="s">
        <v>402</v>
      </c>
      <c r="C50" s="161" t="s">
        <v>1181</v>
      </c>
      <c r="D50" s="153" t="s">
        <v>446</v>
      </c>
      <c r="E50" s="153" t="str">
        <f>RIGHT(D50,LEN(D50)-2)</f>
        <v>Dragged</v>
      </c>
      <c r="F50" s="161" t="s">
        <v>1062</v>
      </c>
      <c r="G50" s="161" t="s">
        <v>1174</v>
      </c>
    </row>
    <row r="51" spans="2:14" ht="60" x14ac:dyDescent="0.25">
      <c r="B51" s="153" t="s">
        <v>403</v>
      </c>
      <c r="C51" s="161" t="str">
        <f ca="1">CONCATENATE("During some bad weather several local fishing boats, wagons crossing a river or farmers irrigating fields are swept away and drowned. The people mourn their loss, make a Stability check or increasing Unrest by ",RANDBETWEEN(1,4),".")</f>
        <v>During some bad weather several local fishing boats, wagons crossing a river or farmers irrigating fields are swept away and drowned. The people mourn their loss, make a Stability check or increasing Unrest by 1.</v>
      </c>
      <c r="D51" s="153" t="s">
        <v>447</v>
      </c>
      <c r="E51" s="153" t="str">
        <f t="shared" ref="E51:E58" si="2">RIGHT(D51,LEN(D51)-2)</f>
        <v>Portal opens</v>
      </c>
      <c r="F51" s="161" t="s">
        <v>953</v>
      </c>
    </row>
    <row r="52" spans="2:14" ht="60" x14ac:dyDescent="0.25">
      <c r="B52" s="153" t="s">
        <v>404</v>
      </c>
      <c r="C52" s="161" t="str">
        <f ca="1">CONCATENATE("Worn through age and neglect, a building in your capital city (determine randomly) requires repairs and maintenance. Spend ",RANDBETWEEN(1,6)," BP making the building sound or lose the benefits of that building until you do so.")</f>
        <v>Worn through age and neglect, a building in your capital city (determine randomly) requires repairs and maintenance. Spend 2 BP making the building sound or lose the benefits of that building until you do so.</v>
      </c>
      <c r="D52" s="153" t="s">
        <v>448</v>
      </c>
      <c r="E52" s="153" t="str">
        <f t="shared" si="2"/>
        <v>Innocent bystander killed</v>
      </c>
      <c r="F52" s="161" t="s">
        <v>921</v>
      </c>
    </row>
    <row r="53" spans="2:14" x14ac:dyDescent="0.25">
      <c r="B53" s="250" t="s">
        <v>405</v>
      </c>
      <c r="C53" s="161"/>
      <c r="D53" s="153" t="s">
        <v>449</v>
      </c>
      <c r="E53" s="153" t="str">
        <f t="shared" si="2"/>
        <v>New land discovered</v>
      </c>
      <c r="F53" s="161" t="s">
        <v>1169</v>
      </c>
    </row>
    <row r="54" spans="2:14" x14ac:dyDescent="0.25">
      <c r="B54" s="250" t="s">
        <v>406</v>
      </c>
      <c r="C54" s="161"/>
      <c r="D54" s="153" t="s">
        <v>450</v>
      </c>
      <c r="E54" s="153" t="str">
        <f t="shared" si="2"/>
        <v>Feuding</v>
      </c>
      <c r="F54" s="161" t="s">
        <v>1172</v>
      </c>
    </row>
    <row r="55" spans="2:14" ht="60" x14ac:dyDescent="0.25">
      <c r="B55" s="153" t="s">
        <v>407</v>
      </c>
      <c r="C55" s="161" t="str">
        <f ca="1">CONCATENATE("A local tribe, neutral race or country demands tribute for transgressions against their territory. Make a Loyalty check, succeed and pay only 1 BP in tribute. Fail and pay ",RANDBETWEEN(1,6)+1," BP to stave off a pending war!")</f>
        <v>A local tribe, neutral race or country demands tribute for transgressions against their territory. Make a Loyalty check, succeed and pay only 1 BP in tribute. Fail and pay 6 BP to stave off a pending war!</v>
      </c>
      <c r="D55" s="153" t="s">
        <v>451</v>
      </c>
      <c r="E55" s="153" t="str">
        <f t="shared" si="2"/>
        <v>Alimony not received</v>
      </c>
      <c r="F55" s="161" t="s">
        <v>868</v>
      </c>
    </row>
    <row r="56" spans="2:14" x14ac:dyDescent="0.25">
      <c r="B56" s="250" t="s">
        <v>408</v>
      </c>
      <c r="C56" s="161"/>
      <c r="D56" s="153" t="s">
        <v>452</v>
      </c>
      <c r="E56" s="153" t="str">
        <f t="shared" si="2"/>
        <v>Disobeying a lawful order</v>
      </c>
      <c r="F56" s="161" t="s">
        <v>1119</v>
      </c>
      <c r="L56" s="174"/>
      <c r="M56" s="175"/>
      <c r="N56" s="175"/>
    </row>
    <row r="57" spans="2:14" x14ac:dyDescent="0.25">
      <c r="B57" s="250" t="s">
        <v>409</v>
      </c>
      <c r="C57" s="161"/>
      <c r="D57" s="153" t="s">
        <v>453</v>
      </c>
      <c r="E57" s="153" t="str">
        <f t="shared" si="2"/>
        <v>Coughing</v>
      </c>
      <c r="F57" s="161" t="s">
        <v>914</v>
      </c>
      <c r="G57" s="161" t="s">
        <v>1174</v>
      </c>
    </row>
    <row r="58" spans="2:14" x14ac:dyDescent="0.25">
      <c r="B58" s="250" t="s">
        <v>410</v>
      </c>
      <c r="C58" s="161"/>
      <c r="D58" s="153" t="s">
        <v>454</v>
      </c>
      <c r="E58" s="153" t="str">
        <f t="shared" si="2"/>
        <v>Smuggling</v>
      </c>
      <c r="F58" s="161" t="s">
        <v>892</v>
      </c>
    </row>
    <row r="59" spans="2:14" ht="60" x14ac:dyDescent="0.25">
      <c r="B59" s="153" t="s">
        <v>411</v>
      </c>
      <c r="C59" s="161" t="str">
        <f ca="1">CONCATENATE("Several strange disappearances are occuring, making the populace uneasy. Make a Stability check to solve the problem or increase Unrest by ",RANDBETWEEN(1,6)," due to rising concerns over the cause.")</f>
        <v>Several strange disappearances are occuring, making the populace uneasy. Make a Stability check to solve the problem or increase Unrest by 1 due to rising concerns over the cause.</v>
      </c>
      <c r="D59" s="153" t="s">
        <v>455</v>
      </c>
      <c r="E59" s="153" t="str">
        <f>RIGHT(D59,LEN(D59)-3)</f>
        <v>Someone does something funny</v>
      </c>
      <c r="F59" s="161" t="s">
        <v>1030</v>
      </c>
    </row>
    <row r="60" spans="2:14" x14ac:dyDescent="0.25">
      <c r="B60" s="250" t="s">
        <v>412</v>
      </c>
      <c r="C60" s="161"/>
      <c r="D60" s="153" t="s">
        <v>456</v>
      </c>
      <c r="E60" s="153" t="str">
        <f t="shared" ref="E60:E123" si="3">RIGHT(D60,LEN(D60)-3)</f>
        <v>Fleeing from justice</v>
      </c>
      <c r="F60" s="161" t="s">
        <v>850</v>
      </c>
    </row>
    <row r="61" spans="2:14" x14ac:dyDescent="0.25">
      <c r="B61" s="250" t="s">
        <v>413</v>
      </c>
      <c r="C61" s="161"/>
      <c r="D61" s="153" t="s">
        <v>457</v>
      </c>
      <c r="E61" s="153" t="str">
        <f t="shared" si="3"/>
        <v>Discovery that someone is adopted</v>
      </c>
      <c r="F61" s="161" t="s">
        <v>931</v>
      </c>
      <c r="G61" s="161" t="s">
        <v>1174</v>
      </c>
    </row>
    <row r="62" spans="2:14" x14ac:dyDescent="0.25">
      <c r="B62" s="250" t="s">
        <v>414</v>
      </c>
      <c r="C62" s="161"/>
      <c r="D62" s="153" t="s">
        <v>458</v>
      </c>
      <c r="E62" s="153" t="str">
        <f t="shared" si="3"/>
        <v>Peeping</v>
      </c>
      <c r="F62" s="161" t="s">
        <v>1053</v>
      </c>
      <c r="G62" s="161" t="s">
        <v>1174</v>
      </c>
    </row>
    <row r="63" spans="2:14" x14ac:dyDescent="0.25">
      <c r="B63" s="250" t="s">
        <v>415</v>
      </c>
      <c r="C63" s="161"/>
      <c r="D63" s="153" t="s">
        <v>459</v>
      </c>
      <c r="E63" s="153" t="str">
        <f t="shared" si="3"/>
        <v>Deviant sexual behavior</v>
      </c>
      <c r="F63" s="161" t="s">
        <v>933</v>
      </c>
    </row>
    <row r="64" spans="2:14" ht="60" x14ac:dyDescent="0.25">
      <c r="B64" s="250" t="s">
        <v>416</v>
      </c>
      <c r="C64" s="161"/>
      <c r="D64" s="153" t="s">
        <v>460</v>
      </c>
      <c r="E64" s="153" t="str">
        <f t="shared" si="3"/>
        <v>Counteraction</v>
      </c>
      <c r="F64" s="161" t="s">
        <v>878</v>
      </c>
      <c r="G64" s="161" t="s">
        <v>1186</v>
      </c>
    </row>
    <row r="65" spans="2:7" ht="75" x14ac:dyDescent="0.25">
      <c r="B65" s="250" t="s">
        <v>417</v>
      </c>
      <c r="C65" s="161"/>
      <c r="D65" s="153" t="s">
        <v>461</v>
      </c>
      <c r="E65" s="153" t="str">
        <f t="shared" si="3"/>
        <v>Brawl</v>
      </c>
      <c r="F65" s="161" t="s">
        <v>1149</v>
      </c>
      <c r="G65" s="161" t="str">
        <f ca="1">CONCATENATE("A team of archaeologists uncovers and ancient burial site containing some interesting artefacts. They offer ",RANDBETWEEN(1,3)," Minor Items to the Council for purchase (determine randomly) at ",RANDBETWEEN(1,4)*10+50,"% of their listed price.")</f>
        <v>A team of archaeologists uncovers and ancient burial site containing some interesting artefacts. They offer 3 Minor Items to the Council for purchase (determine randomly) at 70% of their listed price.</v>
      </c>
    </row>
    <row r="66" spans="2:7" x14ac:dyDescent="0.25">
      <c r="B66" s="250" t="s">
        <v>418</v>
      </c>
      <c r="C66" s="161"/>
      <c r="D66" s="153" t="s">
        <v>462</v>
      </c>
      <c r="E66" s="153" t="str">
        <f t="shared" si="3"/>
        <v>Inquiry</v>
      </c>
      <c r="F66" s="161" t="s">
        <v>942</v>
      </c>
      <c r="G66" s="161" t="s">
        <v>1174</v>
      </c>
    </row>
    <row r="67" spans="2:7" ht="60" x14ac:dyDescent="0.25">
      <c r="B67" s="250" t="s">
        <v>419</v>
      </c>
      <c r="C67" s="161"/>
      <c r="D67" s="153" t="s">
        <v>463</v>
      </c>
      <c r="E67" s="153" t="str">
        <f t="shared" si="3"/>
        <v>Bigamy</v>
      </c>
      <c r="F67" s="161" t="s">
        <v>1109</v>
      </c>
      <c r="G67" s="161" t="s">
        <v>1215</v>
      </c>
    </row>
    <row r="68" spans="2:7" x14ac:dyDescent="0.25">
      <c r="B68" s="250" t="s">
        <v>420</v>
      </c>
      <c r="C68" s="161"/>
      <c r="D68" s="153" t="s">
        <v>464</v>
      </c>
      <c r="E68" s="153" t="str">
        <f t="shared" si="3"/>
        <v>Street gang encountered</v>
      </c>
      <c r="F68" s="161" t="s">
        <v>1023</v>
      </c>
    </row>
    <row r="69" spans="2:7" x14ac:dyDescent="0.25">
      <c r="B69" s="250" t="s">
        <v>421</v>
      </c>
      <c r="C69" s="161"/>
      <c r="D69" s="153" t="s">
        <v>465</v>
      </c>
      <c r="E69" s="153" t="str">
        <f t="shared" si="3"/>
        <v>Slander</v>
      </c>
      <c r="F69" s="161" t="s">
        <v>886</v>
      </c>
    </row>
    <row r="70" spans="2:7" ht="60" x14ac:dyDescent="0.25">
      <c r="B70" s="153" t="s">
        <v>422</v>
      </c>
      <c r="C70" s="161" t="str">
        <f ca="1">CONCATENATE("A group of adventurers enters the city in search of mercenaries and porters to assist in their quest. Unfortunately they resort to force to get the men they need, increasing Unrest by ",RANDBETWEEN(1,4),".")</f>
        <v>A group of adventurers enters the city in search of mercenaries and porters to assist in their quest. Unfortunately they resort to force to get the men they need, increasing Unrest by 2.</v>
      </c>
      <c r="D70" s="153" t="s">
        <v>466</v>
      </c>
      <c r="E70" s="153" t="str">
        <f t="shared" si="3"/>
        <v>Lying</v>
      </c>
      <c r="F70" s="161" t="s">
        <v>874</v>
      </c>
    </row>
    <row r="71" spans="2:7" ht="45" x14ac:dyDescent="0.25">
      <c r="B71" s="250" t="s">
        <v>423</v>
      </c>
      <c r="C71" s="161"/>
      <c r="D71" s="153" t="s">
        <v>467</v>
      </c>
      <c r="E71" s="153" t="str">
        <f t="shared" si="3"/>
        <v>New building or structure constructed</v>
      </c>
      <c r="F71" s="161" t="s">
        <v>867</v>
      </c>
      <c r="G71" s="161" t="s">
        <v>1216</v>
      </c>
    </row>
    <row r="72" spans="2:7" ht="45" x14ac:dyDescent="0.25">
      <c r="B72" s="153" t="s">
        <v>424</v>
      </c>
      <c r="C72" s="161" t="s">
        <v>1194</v>
      </c>
      <c r="D72" s="153" t="s">
        <v>468</v>
      </c>
      <c r="E72" s="153" t="str">
        <f t="shared" si="3"/>
        <v>Attraction</v>
      </c>
      <c r="F72" s="161" t="s">
        <v>881</v>
      </c>
    </row>
    <row r="73" spans="2:7" ht="75" x14ac:dyDescent="0.25">
      <c r="B73" s="153" t="s">
        <v>425</v>
      </c>
      <c r="C73" s="161" t="str">
        <f ca="1">CONCATENATE("Due to a slight or insult, a duel takes place between two rival high-ranking members of the Kingdom. Make a Loyalty check to bring the warring parties into line, otherwise reduce Loyalty by ",RANDBETWEEN(1,6)," until the next Event phase whilst they sort out their issues.")</f>
        <v>Due to a slight or insult, a duel takes place between two rival high-ranking members of the Kingdom. Make a Loyalty check to bring the warring parties into line, otherwise reduce Loyalty by 6 until the next Event phase whilst they sort out their issues.</v>
      </c>
      <c r="D73" s="153" t="s">
        <v>469</v>
      </c>
      <c r="E73" s="153" t="str">
        <f t="shared" si="3"/>
        <v>Adoption</v>
      </c>
      <c r="F73" s="161" t="s">
        <v>893</v>
      </c>
      <c r="G73" s="161" t="str">
        <f ca="1">CONCATENATE("A wave of fear spreads through the kingdom due to monster sightings, sickness or criminal activity. Make a Stabiity check or increase Unrest by ",RANDBETWEEN(1,6),".")</f>
        <v>A wave of fear spreads through the kingdom due to monster sightings, sickness or criminal activity. Make a Stabiity check or increase Unrest by 6.</v>
      </c>
    </row>
    <row r="74" spans="2:7" ht="60" x14ac:dyDescent="0.25">
      <c r="B74" s="153" t="s">
        <v>1195</v>
      </c>
      <c r="C74" s="161" t="s">
        <v>1196</v>
      </c>
      <c r="D74" s="153" t="s">
        <v>470</v>
      </c>
      <c r="E74" s="153" t="str">
        <f t="shared" si="3"/>
        <v>Birthday celebration</v>
      </c>
      <c r="F74" s="161" t="s">
        <v>1108</v>
      </c>
    </row>
    <row r="75" spans="2:7" ht="60" x14ac:dyDescent="0.25">
      <c r="B75" s="153" t="s">
        <v>426</v>
      </c>
      <c r="C75" s="161" t="str">
        <f ca="1">CONCATENATE("The people demand a day of competitve events, such as archery contests, foot races, horse races and wrestling. It costs ",RANDBETWEEN(1,4)," BP to pay for the events, otherwise increase Unrest by ",RANDBETWEEN(1,4)+2,".")</f>
        <v>The people demand a day of competitve events, such as archery contests, foot races, horse races and wrestling. It costs 4 BP to pay for the events, otherwise increase Unrest by 5.</v>
      </c>
      <c r="D75" s="153" t="s">
        <v>471</v>
      </c>
      <c r="E75" s="153" t="str">
        <f t="shared" si="3"/>
        <v>Fleeing from slavery</v>
      </c>
      <c r="F75" s="161" t="s">
        <v>905</v>
      </c>
    </row>
    <row r="76" spans="2:7" ht="45" x14ac:dyDescent="0.25">
      <c r="B76" s="153" t="s">
        <v>427</v>
      </c>
      <c r="C76" s="161" t="str">
        <f ca="1">CONCATENATE("A day of celebration and marriages brings joy to the kingdom. Increase Loyalty by ",RANDBETWEEN(1,4)," until the end of the next Event phase.")</f>
        <v>A day of celebration and marriages brings joy to the kingdom. Increase Loyalty by 1 until the end of the next Event phase.</v>
      </c>
      <c r="D76" s="153" t="s">
        <v>472</v>
      </c>
      <c r="E76" s="153" t="str">
        <f t="shared" si="3"/>
        <v>Reinforcements arrive</v>
      </c>
      <c r="F76" s="161" t="s">
        <v>1156</v>
      </c>
      <c r="G76" s="161" t="s">
        <v>1187</v>
      </c>
    </row>
    <row r="77" spans="2:7" x14ac:dyDescent="0.25">
      <c r="B77" s="250" t="s">
        <v>428</v>
      </c>
      <c r="C77" s="161"/>
      <c r="D77" s="153" t="s">
        <v>473</v>
      </c>
      <c r="E77" s="153" t="str">
        <f t="shared" si="3"/>
        <v>Low tide</v>
      </c>
      <c r="F77" s="161" t="s">
        <v>887</v>
      </c>
    </row>
    <row r="78" spans="2:7" ht="45" x14ac:dyDescent="0.25">
      <c r="B78" s="153" t="s">
        <v>429</v>
      </c>
      <c r="C78" s="161" t="str">
        <f ca="1">CONCATENATE("The population is booming! The kingdom goes from strength to strength. Increase the treasury by ",RANDBETWEEN(1,6)," BP due to the influx of trade and people.")</f>
        <v>The population is booming! The kingdom goes from strength to strength. Increase the treasury by 4 BP due to the influx of trade and people.</v>
      </c>
      <c r="D78" s="153" t="s">
        <v>474</v>
      </c>
      <c r="E78" s="153" t="str">
        <f t="shared" si="3"/>
        <v>New technique discovered</v>
      </c>
      <c r="F78" s="161" t="s">
        <v>862</v>
      </c>
    </row>
    <row r="79" spans="2:7" ht="45" x14ac:dyDescent="0.25">
      <c r="B79" s="153" t="s">
        <v>101</v>
      </c>
      <c r="C79" s="161" t="s">
        <v>1182</v>
      </c>
      <c r="D79" s="153" t="s">
        <v>475</v>
      </c>
      <c r="E79" s="153" t="str">
        <f t="shared" si="3"/>
        <v>Assault</v>
      </c>
      <c r="F79" s="161" t="s">
        <v>869</v>
      </c>
      <c r="G79" s="161" t="s">
        <v>1188</v>
      </c>
    </row>
    <row r="80" spans="2:7" ht="30" x14ac:dyDescent="0.25">
      <c r="B80" s="153" t="s">
        <v>430</v>
      </c>
      <c r="C80" s="161" t="s">
        <v>1176</v>
      </c>
      <c r="D80" s="153" t="s">
        <v>476</v>
      </c>
      <c r="E80" s="153" t="str">
        <f t="shared" si="3"/>
        <v>Search for a fugitive</v>
      </c>
      <c r="F80" s="161" t="s">
        <v>1113</v>
      </c>
    </row>
    <row r="81" spans="2:7" ht="75" x14ac:dyDescent="0.25">
      <c r="B81" s="153" t="s">
        <v>431</v>
      </c>
      <c r="C81" s="161" t="str">
        <f ca="1">CONCATENATE("[NO CATHEDERAL = NON-EVENT] The High Priest leads the masses in a large public blessing, thanking the gods for their protection and good favour to the kingdom. The people rejoice, increasing Stability and Loyalty by ",RANDBETWEEN(1,6)," until the next Event phase.")</f>
        <v>[NO CATHEDERAL = NON-EVENT] The High Priest leads the masses in a large public blessing, thanking the gods for their protection and good favour to the kingdom. The people rejoice, increasing Stability and Loyalty by 5 until the next Event phase.</v>
      </c>
      <c r="D81" s="153" t="s">
        <v>477</v>
      </c>
      <c r="E81" s="153" t="str">
        <f t="shared" si="3"/>
        <v>Expansion</v>
      </c>
      <c r="F81" s="161" t="s">
        <v>1039</v>
      </c>
    </row>
    <row r="82" spans="2:7" x14ac:dyDescent="0.25">
      <c r="B82" s="250" t="s">
        <v>432</v>
      </c>
      <c r="C82" s="161"/>
      <c r="D82" s="153" t="s">
        <v>478</v>
      </c>
      <c r="E82" s="153" t="str">
        <f t="shared" si="3"/>
        <v>Desertion</v>
      </c>
      <c r="F82" s="161" t="s">
        <v>981</v>
      </c>
    </row>
    <row r="83" spans="2:7" ht="60" x14ac:dyDescent="0.25">
      <c r="B83" s="153" t="s">
        <v>433</v>
      </c>
      <c r="C83" s="161" t="str">
        <f ca="1">CONCATENATE("[NO ARENA = NON-EVENT] The citizens demand more blood sports to keep them amused! Make a Stability check or increase Unrest by ",RANDBETWEEN(1,6)," points due to unquenched bloodlust!")</f>
        <v>[NO ARENA = NON-EVENT] The citizens demand more blood sports to keep them amused! Make a Stability check or increase Unrest by 6 points due to unquenched bloodlust!</v>
      </c>
      <c r="D83" s="153" t="s">
        <v>479</v>
      </c>
      <c r="E83" s="153" t="str">
        <f t="shared" si="3"/>
        <v>Animal theft</v>
      </c>
      <c r="F83" s="161" t="s">
        <v>1052</v>
      </c>
    </row>
    <row r="84" spans="2:7" x14ac:dyDescent="0.25">
      <c r="B84" s="153" t="s">
        <v>434</v>
      </c>
      <c r="C84" s="161"/>
      <c r="D84" s="153" t="s">
        <v>480</v>
      </c>
      <c r="E84" s="153" t="str">
        <f t="shared" si="3"/>
        <v>Slaves sold</v>
      </c>
      <c r="F84" s="161" t="s">
        <v>1024</v>
      </c>
    </row>
    <row r="85" spans="2:7" ht="45" x14ac:dyDescent="0.25">
      <c r="B85" s="153" t="s">
        <v>435</v>
      </c>
      <c r="C85" s="161" t="s">
        <v>1175</v>
      </c>
      <c r="D85" s="153" t="s">
        <v>481</v>
      </c>
      <c r="E85" s="153" t="str">
        <f t="shared" si="3"/>
        <v>Selling defective goods</v>
      </c>
      <c r="F85" s="161" t="s">
        <v>1003</v>
      </c>
    </row>
    <row r="86" spans="2:7" ht="45" x14ac:dyDescent="0.25">
      <c r="B86" s="153" t="s">
        <v>436</v>
      </c>
      <c r="C86" s="161" t="s">
        <v>1183</v>
      </c>
      <c r="D86" s="153" t="s">
        <v>482</v>
      </c>
      <c r="E86" s="153" t="str">
        <f t="shared" si="3"/>
        <v>Avalanche</v>
      </c>
      <c r="F86" s="161" t="s">
        <v>904</v>
      </c>
    </row>
    <row r="87" spans="2:7" ht="60" x14ac:dyDescent="0.25">
      <c r="B87" s="153" t="s">
        <v>437</v>
      </c>
      <c r="C87" s="161" t="str">
        <f ca="1">CONCATENATE("[NO WARDEN = NON-EVENT] The Warden leads the City Guard on military manoeuvers to improve their combat skills. Add ",RANDBETWEEN(1,6)+1," to Defence and Stability until the end of the next Event phase.")</f>
        <v>[NO WARDEN = NON-EVENT] The Warden leads the City Guard on military manoeuvers to improve their combat skills. Add 5 to Defence and Stability until the end of the next Event phase.</v>
      </c>
      <c r="D87" s="153" t="s">
        <v>483</v>
      </c>
      <c r="E87" s="153" t="str">
        <f t="shared" si="3"/>
        <v>Sex</v>
      </c>
      <c r="F87" s="161" t="s">
        <v>941</v>
      </c>
    </row>
    <row r="88" spans="2:7" ht="60" x14ac:dyDescent="0.25">
      <c r="B88" s="153" t="s">
        <v>438</v>
      </c>
      <c r="C88" s="161" t="s">
        <v>1184</v>
      </c>
      <c r="D88" s="153" t="s">
        <v>484</v>
      </c>
      <c r="E88" s="153" t="str">
        <f t="shared" si="3"/>
        <v>Forced to kill someone else</v>
      </c>
      <c r="F88" s="161" t="s">
        <v>976</v>
      </c>
    </row>
    <row r="89" spans="2:7" ht="45" x14ac:dyDescent="0.25">
      <c r="B89" s="153" t="s">
        <v>439</v>
      </c>
      <c r="C89" s="161" t="str">
        <f ca="1">CONCATENATE("A respected local holy man initiates at the monthly religious blessing. Increase Loyalty by ",RANDBETWEEN(1,4)," until the end of the next Event phase.")</f>
        <v>A respected local holy man initiates at the monthly religious blessing. Increase Loyalty by 1 until the end of the next Event phase.</v>
      </c>
      <c r="D89" s="153" t="s">
        <v>485</v>
      </c>
      <c r="E89" s="153" t="str">
        <f t="shared" si="3"/>
        <v>Return of a missing person</v>
      </c>
      <c r="F89" s="161" t="s">
        <v>1126</v>
      </c>
    </row>
    <row r="90" spans="2:7" x14ac:dyDescent="0.25">
      <c r="B90" s="250" t="s">
        <v>440</v>
      </c>
      <c r="C90" s="161"/>
      <c r="D90" s="153" t="s">
        <v>486</v>
      </c>
      <c r="E90" s="153" t="str">
        <f t="shared" si="3"/>
        <v>Contract broken</v>
      </c>
      <c r="F90" s="161" t="s">
        <v>1147</v>
      </c>
    </row>
    <row r="91" spans="2:7" ht="45" x14ac:dyDescent="0.25">
      <c r="B91" s="153" t="s">
        <v>441</v>
      </c>
      <c r="C91" s="161" t="str">
        <f ca="1">CONCATENATE("A band of travelling Jongleurs hold an impromptu fair, bringing much joy to the populace. Increase the treasury by ",RANDBETWEEN(1,6)," BP due to increased efficiency and spending.")</f>
        <v>A band of travelling Jongleurs hold an impromptu fair, bringing much joy to the populace. Increase the treasury by 1 BP due to increased efficiency and spending.</v>
      </c>
      <c r="D91" s="153" t="s">
        <v>487</v>
      </c>
      <c r="E91" s="153" t="str">
        <f t="shared" si="3"/>
        <v>Assassination attempt fails</v>
      </c>
      <c r="F91" s="161" t="s">
        <v>1141</v>
      </c>
    </row>
    <row r="92" spans="2:7" ht="45" x14ac:dyDescent="0.25">
      <c r="B92" s="153" t="s">
        <v>442</v>
      </c>
      <c r="C92" s="161" t="s">
        <v>1185</v>
      </c>
      <c r="D92" s="153" t="s">
        <v>488</v>
      </c>
      <c r="E92" s="153" t="str">
        <f t="shared" si="3"/>
        <v>Becomes feverish</v>
      </c>
      <c r="F92" s="161" t="s">
        <v>1092</v>
      </c>
    </row>
    <row r="93" spans="2:7" ht="60" x14ac:dyDescent="0.25">
      <c r="B93" s="153" t="s">
        <v>443</v>
      </c>
      <c r="C93" s="161" t="str">
        <f ca="1">CONCATENATE("An increase in the number of people joining the City Guard improves defence and eases the minds of the populace. Increase Stability by ",RANDBETWEEN(1,6)," until the next Event phase.")</f>
        <v>An increase in the number of people joining the City Guard improves defence and eases the minds of the populace. Increase Stability by 1 until the next Event phase.</v>
      </c>
      <c r="D93" s="153" t="s">
        <v>489</v>
      </c>
      <c r="E93" s="153" t="str">
        <f t="shared" si="3"/>
        <v>Substance freezes</v>
      </c>
      <c r="F93" s="161" t="s">
        <v>1101</v>
      </c>
      <c r="G93" s="161" t="s">
        <v>1174</v>
      </c>
    </row>
    <row r="94" spans="2:7" ht="60" x14ac:dyDescent="0.25">
      <c r="B94" s="153" t="s">
        <v>444</v>
      </c>
      <c r="C94" s="161" t="str">
        <f ca="1">CONCATENATE("A holy artefact is taken on a tour of the kingdom by some religious pilgrims. The item is sacred to a particular deity, increasing Stability by ",RANDBETWEEN(1,3)+1," until the end of the next Event phase.")</f>
        <v>A holy artefact is taken on a tour of the kingdom by some religious pilgrims. The item is sacred to a particular deity, increasing Stability by 4 until the end of the next Event phase.</v>
      </c>
      <c r="D94" s="153" t="s">
        <v>490</v>
      </c>
      <c r="E94" s="153" t="str">
        <f t="shared" si="3"/>
        <v>Stray animal attacks</v>
      </c>
      <c r="F94" s="161" t="s">
        <v>919</v>
      </c>
    </row>
    <row r="95" spans="2:7" ht="45" x14ac:dyDescent="0.25">
      <c r="B95" s="153" t="s">
        <v>445</v>
      </c>
      <c r="C95" s="161"/>
      <c r="D95" s="153" t="s">
        <v>491</v>
      </c>
      <c r="E95" s="153" t="str">
        <f t="shared" si="3"/>
        <v>Piracy</v>
      </c>
      <c r="F95" s="161" t="s">
        <v>860</v>
      </c>
      <c r="G95" s="161" t="s">
        <v>1197</v>
      </c>
    </row>
    <row r="96" spans="2:7" x14ac:dyDescent="0.25">
      <c r="D96" s="153" t="s">
        <v>492</v>
      </c>
      <c r="E96" s="153" t="str">
        <f t="shared" si="3"/>
        <v>Fleeing from enemy</v>
      </c>
      <c r="F96" s="161" t="s">
        <v>1116</v>
      </c>
      <c r="G96" s="161" t="s">
        <v>1174</v>
      </c>
    </row>
    <row r="97" spans="4:7" ht="60" x14ac:dyDescent="0.25">
      <c r="D97" s="153" t="s">
        <v>493</v>
      </c>
      <c r="E97" s="153" t="str">
        <f t="shared" si="3"/>
        <v>Air turbulance</v>
      </c>
      <c r="F97" s="161" t="s">
        <v>940</v>
      </c>
      <c r="G97" s="161" t="s">
        <v>1217</v>
      </c>
    </row>
    <row r="98" spans="4:7" x14ac:dyDescent="0.25">
      <c r="D98" s="153" t="s">
        <v>494</v>
      </c>
      <c r="E98" s="153" t="str">
        <f t="shared" si="3"/>
        <v>Bad mood</v>
      </c>
      <c r="F98" s="161" t="s">
        <v>989</v>
      </c>
    </row>
    <row r="99" spans="4:7" ht="75" x14ac:dyDescent="0.25">
      <c r="D99" s="153" t="s">
        <v>495</v>
      </c>
      <c r="E99" s="153" t="str">
        <f t="shared" si="3"/>
        <v>Hanging</v>
      </c>
      <c r="F99" s="161" t="s">
        <v>1110</v>
      </c>
      <c r="G99" s="161" t="str">
        <f ca="1">CONCATENATE("A merchant trade caravan offers to depart for foreign climes, hoping to trade items and bring back new and exotic wares. If you wish to invest, reduce the Treasury by ",RANDBETWEEN(1,6)," BP but add ",RANDBETWEEN(1,2)+1," times that amount in ",RANDBETWEEN(1,4)+2," months time.")</f>
        <v>A merchant trade caravan offers to depart for foreign climes, hoping to trade items and bring back new and exotic wares. If you wish to invest, reduce the Treasury by 1 BP but add 2 times that amount in 6 months time.</v>
      </c>
    </row>
    <row r="100" spans="4:7" x14ac:dyDescent="0.25">
      <c r="D100" s="153" t="s">
        <v>496</v>
      </c>
      <c r="E100" s="153" t="str">
        <f t="shared" si="3"/>
        <v>Valuable item dropped</v>
      </c>
      <c r="F100" s="161" t="s">
        <v>946</v>
      </c>
      <c r="G100" s="161" t="s">
        <v>1189</v>
      </c>
    </row>
    <row r="101" spans="4:7" x14ac:dyDescent="0.25">
      <c r="D101" s="153" t="s">
        <v>497</v>
      </c>
      <c r="E101" s="153" t="str">
        <f t="shared" si="3"/>
        <v>Encounter with organized crime</v>
      </c>
      <c r="F101" s="161" t="s">
        <v>1146</v>
      </c>
    </row>
    <row r="102" spans="4:7" ht="75" x14ac:dyDescent="0.25">
      <c r="D102" s="153" t="s">
        <v>498</v>
      </c>
      <c r="E102" s="153" t="str">
        <f t="shared" si="3"/>
        <v>New lands created (e.g., by earthquake)</v>
      </c>
      <c r="F102" s="161" t="s">
        <v>977</v>
      </c>
      <c r="G102" s="161" t="s">
        <v>1218</v>
      </c>
    </row>
    <row r="103" spans="4:7" x14ac:dyDescent="0.25">
      <c r="D103" s="153" t="s">
        <v>499</v>
      </c>
      <c r="E103" s="153" t="str">
        <f t="shared" si="3"/>
        <v>Hair extraction</v>
      </c>
      <c r="F103" s="161" t="s">
        <v>1112</v>
      </c>
    </row>
    <row r="104" spans="4:7" x14ac:dyDescent="0.25">
      <c r="D104" s="153" t="s">
        <v>500</v>
      </c>
      <c r="E104" s="153" t="str">
        <f t="shared" si="3"/>
        <v>Publicly Humiliated</v>
      </c>
      <c r="F104" s="161" t="s">
        <v>913</v>
      </c>
    </row>
    <row r="105" spans="4:7" x14ac:dyDescent="0.25">
      <c r="D105" s="153" t="s">
        <v>501</v>
      </c>
      <c r="E105" s="153" t="str">
        <f t="shared" si="3"/>
        <v>Harboring a fugitive</v>
      </c>
      <c r="F105" s="161" t="s">
        <v>949</v>
      </c>
    </row>
    <row r="106" spans="4:7" ht="60" x14ac:dyDescent="0.25">
      <c r="D106" s="153" t="s">
        <v>502</v>
      </c>
      <c r="E106" s="153" t="str">
        <f t="shared" si="3"/>
        <v>Eclipse of sun</v>
      </c>
      <c r="F106" s="161" t="s">
        <v>924</v>
      </c>
      <c r="G106" s="161" t="s">
        <v>1219</v>
      </c>
    </row>
    <row r="107" spans="4:7" x14ac:dyDescent="0.25">
      <c r="D107" s="153" t="s">
        <v>503</v>
      </c>
      <c r="E107" s="153" t="str">
        <f t="shared" si="3"/>
        <v>Portal closes</v>
      </c>
      <c r="F107" s="161" t="s">
        <v>984</v>
      </c>
    </row>
    <row r="108" spans="4:7" x14ac:dyDescent="0.25">
      <c r="D108" s="153" t="s">
        <v>504</v>
      </c>
      <c r="E108" s="153" t="str">
        <f t="shared" si="3"/>
        <v>Vandalism</v>
      </c>
      <c r="F108" s="161" t="s">
        <v>1020</v>
      </c>
    </row>
    <row r="109" spans="4:7" ht="45" x14ac:dyDescent="0.25">
      <c r="D109" s="153" t="s">
        <v>505</v>
      </c>
      <c r="E109" s="153" t="str">
        <f t="shared" si="3"/>
        <v>Blizzard</v>
      </c>
      <c r="F109" s="161" t="s">
        <v>1083</v>
      </c>
      <c r="G109" s="161" t="str">
        <f ca="1">CONCATENATE("Some members of the community are not happy with recent Council edicts. Make a Stability check or increase Unrest by ",RANDBETWEEN(1,4),".")</f>
        <v>Some members of the community are not happy with recent Council edicts. Make a Stability check or increase Unrest by 1.</v>
      </c>
    </row>
    <row r="110" spans="4:7" x14ac:dyDescent="0.25">
      <c r="D110" s="153" t="s">
        <v>506</v>
      </c>
      <c r="E110" s="153" t="str">
        <f t="shared" si="3"/>
        <v>Earthquake</v>
      </c>
      <c r="F110" s="161" t="s">
        <v>956</v>
      </c>
    </row>
    <row r="111" spans="4:7" x14ac:dyDescent="0.25">
      <c r="D111" s="153" t="s">
        <v>507</v>
      </c>
      <c r="E111" s="153" t="str">
        <f t="shared" si="3"/>
        <v>Balance maintained</v>
      </c>
      <c r="F111" s="161" t="s">
        <v>906</v>
      </c>
      <c r="G111" s="161" t="s">
        <v>1174</v>
      </c>
    </row>
    <row r="112" spans="4:7" ht="45" x14ac:dyDescent="0.25">
      <c r="D112" s="153" t="s">
        <v>508</v>
      </c>
      <c r="E112" s="153" t="str">
        <f t="shared" si="3"/>
        <v>Conducting business without a license</v>
      </c>
      <c r="F112" s="161" t="s">
        <v>990</v>
      </c>
      <c r="G112" s="161" t="s">
        <v>1220</v>
      </c>
    </row>
    <row r="113" spans="4:7" x14ac:dyDescent="0.25">
      <c r="D113" s="153" t="s">
        <v>509</v>
      </c>
      <c r="E113" s="153" t="str">
        <f t="shared" si="3"/>
        <v>Reparations</v>
      </c>
      <c r="F113" s="161" t="s">
        <v>1111</v>
      </c>
      <c r="G113" s="161" t="s">
        <v>1174</v>
      </c>
    </row>
    <row r="114" spans="4:7" x14ac:dyDescent="0.25">
      <c r="D114" s="153" t="s">
        <v>510</v>
      </c>
      <c r="E114" s="153" t="str">
        <f t="shared" si="3"/>
        <v>Genital crushing</v>
      </c>
      <c r="F114" s="161" t="s">
        <v>885</v>
      </c>
    </row>
    <row r="115" spans="4:7" x14ac:dyDescent="0.25">
      <c r="D115" s="153" t="s">
        <v>511</v>
      </c>
      <c r="E115" s="153" t="str">
        <f t="shared" si="3"/>
        <v>Pornographic items sold</v>
      </c>
      <c r="F115" s="161" t="s">
        <v>1098</v>
      </c>
    </row>
    <row r="116" spans="4:7" x14ac:dyDescent="0.25">
      <c r="D116" s="153" t="s">
        <v>512</v>
      </c>
      <c r="E116" s="153" t="str">
        <f t="shared" si="3"/>
        <v>Truth is hidden</v>
      </c>
      <c r="F116" s="161" t="s">
        <v>852</v>
      </c>
    </row>
    <row r="117" spans="4:7" x14ac:dyDescent="0.25">
      <c r="D117" s="153" t="s">
        <v>513</v>
      </c>
      <c r="E117" s="153" t="str">
        <f t="shared" si="3"/>
        <v>Insanity</v>
      </c>
      <c r="F117" s="161" t="s">
        <v>859</v>
      </c>
    </row>
    <row r="118" spans="4:7" x14ac:dyDescent="0.25">
      <c r="D118" s="153" t="s">
        <v>514</v>
      </c>
      <c r="E118" s="153" t="str">
        <f t="shared" si="3"/>
        <v>Inciting to riot</v>
      </c>
      <c r="F118" s="161" t="s">
        <v>1107</v>
      </c>
    </row>
    <row r="119" spans="4:7" x14ac:dyDescent="0.25">
      <c r="D119" s="153" t="s">
        <v>515</v>
      </c>
      <c r="E119" s="153" t="str">
        <f t="shared" si="3"/>
        <v>Collision</v>
      </c>
      <c r="F119" s="161" t="s">
        <v>998</v>
      </c>
      <c r="G119" s="161" t="s">
        <v>1174</v>
      </c>
    </row>
    <row r="120" spans="4:7" ht="45" x14ac:dyDescent="0.25">
      <c r="D120" s="153" t="s">
        <v>516</v>
      </c>
      <c r="E120" s="153" t="str">
        <f t="shared" si="3"/>
        <v>Agreement reached</v>
      </c>
      <c r="F120" s="161" t="s">
        <v>916</v>
      </c>
      <c r="G120" s="161" t="s">
        <v>1221</v>
      </c>
    </row>
    <row r="121" spans="4:7" x14ac:dyDescent="0.25">
      <c r="D121" s="153" t="s">
        <v>517</v>
      </c>
      <c r="E121" s="153" t="str">
        <f t="shared" si="3"/>
        <v>Tornado</v>
      </c>
      <c r="F121" s="161" t="s">
        <v>1142</v>
      </c>
    </row>
    <row r="122" spans="4:7" ht="75" x14ac:dyDescent="0.25">
      <c r="D122" s="153" t="s">
        <v>518</v>
      </c>
      <c r="E122" s="153" t="str">
        <f t="shared" si="3"/>
        <v>Crucified</v>
      </c>
      <c r="F122" s="161" t="s">
        <v>1198</v>
      </c>
      <c r="G122" s="161" t="str">
        <f ca="1">CONCATENATE("[CONTINUOUS] Rumours of a witch workshiping Gyronna in the area prove true. A curse appears to affect the kingdom, increasing Consumption by ",RANDBETWEEN(1,4)," until the curse is lifted through the removal or ejection of the witch.")</f>
        <v>[CONTINUOUS] Rumours of a witch workshiping Gyronna in the area prove true. A curse appears to affect the kingdom, increasing Consumption by 4 until the curse is lifted through the removal or ejection of the witch.</v>
      </c>
    </row>
    <row r="123" spans="4:7" x14ac:dyDescent="0.25">
      <c r="D123" s="153" t="s">
        <v>519</v>
      </c>
      <c r="E123" s="153" t="str">
        <f t="shared" si="3"/>
        <v>Trial</v>
      </c>
      <c r="F123" s="161" t="s">
        <v>1124</v>
      </c>
    </row>
    <row r="124" spans="4:7" x14ac:dyDescent="0.25">
      <c r="D124" s="153" t="s">
        <v>520</v>
      </c>
      <c r="E124" s="153" t="str">
        <f t="shared" ref="E124:E187" si="4">RIGHT(D124,LEN(D124)-3)</f>
        <v>Religious fanaticism</v>
      </c>
      <c r="F124" s="161" t="s">
        <v>1045</v>
      </c>
      <c r="G124" s="161" t="s">
        <v>1174</v>
      </c>
    </row>
    <row r="125" spans="4:7" x14ac:dyDescent="0.25">
      <c r="D125" s="153" t="s">
        <v>521</v>
      </c>
      <c r="E125" s="153" t="str">
        <f t="shared" si="4"/>
        <v>Branded</v>
      </c>
      <c r="F125" s="161" t="s">
        <v>1064</v>
      </c>
      <c r="G125" s="161" t="s">
        <v>1174</v>
      </c>
    </row>
    <row r="126" spans="4:7" x14ac:dyDescent="0.25">
      <c r="D126" s="153" t="s">
        <v>522</v>
      </c>
      <c r="E126" s="153" t="str">
        <f t="shared" si="4"/>
        <v>Screams heard in distance</v>
      </c>
      <c r="F126" s="161" t="s">
        <v>1073</v>
      </c>
    </row>
    <row r="127" spans="4:7" x14ac:dyDescent="0.25">
      <c r="D127" s="153" t="s">
        <v>523</v>
      </c>
      <c r="E127" s="153" t="str">
        <f t="shared" si="4"/>
        <v>Accessory to murder</v>
      </c>
      <c r="F127" s="161" t="s">
        <v>1080</v>
      </c>
    </row>
    <row r="128" spans="4:7" x14ac:dyDescent="0.25">
      <c r="D128" s="153" t="s">
        <v>524</v>
      </c>
      <c r="E128" s="153" t="str">
        <f t="shared" si="4"/>
        <v>Rumor discovered to be false</v>
      </c>
      <c r="F128" s="161" t="s">
        <v>1075</v>
      </c>
      <c r="G128" s="161" t="s">
        <v>1174</v>
      </c>
    </row>
    <row r="129" spans="4:7" x14ac:dyDescent="0.25">
      <c r="D129" s="153" t="s">
        <v>525</v>
      </c>
      <c r="E129" s="153" t="str">
        <f t="shared" si="4"/>
        <v>Religious visitation</v>
      </c>
      <c r="F129" s="161" t="s">
        <v>1134</v>
      </c>
    </row>
    <row r="130" spans="4:7" x14ac:dyDescent="0.25">
      <c r="D130" s="153" t="s">
        <v>526</v>
      </c>
      <c r="E130" s="153" t="str">
        <f t="shared" si="4"/>
        <v>Comet appears</v>
      </c>
      <c r="F130" s="161" t="s">
        <v>1082</v>
      </c>
    </row>
    <row r="131" spans="4:7" x14ac:dyDescent="0.25">
      <c r="D131" s="153" t="s">
        <v>527</v>
      </c>
      <c r="E131" s="153" t="str">
        <f t="shared" si="4"/>
        <v>Measurement of item</v>
      </c>
      <c r="F131" s="161" t="s">
        <v>936</v>
      </c>
    </row>
    <row r="132" spans="4:7" ht="60" x14ac:dyDescent="0.25">
      <c r="D132" s="153" t="s">
        <v>528</v>
      </c>
      <c r="E132" s="153" t="str">
        <f t="shared" si="4"/>
        <v>Separation</v>
      </c>
      <c r="F132" s="161" t="s">
        <v>877</v>
      </c>
      <c r="G132" s="161" t="str">
        <f ca="1">CONCATENATE("Several members of the City Guard desert their posts and flee the city. Increase Unrest by ",RANDBETWEEN(1,4),", also reduce Defence by ",RANDBETWEEN(1,6)," until the next Event phase.")</f>
        <v>Several members of the City Guard desert their posts and flee the city. Increase Unrest by 1, also reduce Defence by 3 until the next Event phase.</v>
      </c>
    </row>
    <row r="133" spans="4:7" x14ac:dyDescent="0.25">
      <c r="D133" s="153" t="s">
        <v>529</v>
      </c>
      <c r="E133" s="153" t="str">
        <f t="shared" si="4"/>
        <v>Misery</v>
      </c>
      <c r="F133" s="161" t="s">
        <v>1009</v>
      </c>
      <c r="G133" s="161" t="s">
        <v>1174</v>
      </c>
    </row>
    <row r="134" spans="4:7" x14ac:dyDescent="0.25">
      <c r="D134" s="153" t="s">
        <v>530</v>
      </c>
      <c r="E134" s="153" t="str">
        <f t="shared" si="4"/>
        <v>Hostage taken</v>
      </c>
      <c r="F134" s="161" t="s">
        <v>858</v>
      </c>
    </row>
    <row r="135" spans="4:7" x14ac:dyDescent="0.25">
      <c r="D135" s="153" t="s">
        <v>531</v>
      </c>
      <c r="E135" s="153" t="str">
        <f t="shared" si="4"/>
        <v>Extortion</v>
      </c>
      <c r="F135" s="161" t="s">
        <v>1046</v>
      </c>
    </row>
    <row r="136" spans="4:7" x14ac:dyDescent="0.25">
      <c r="D136" s="153" t="s">
        <v>532</v>
      </c>
      <c r="E136" s="153" t="str">
        <f t="shared" si="4"/>
        <v>Sound comes from unexpected place</v>
      </c>
      <c r="F136" s="161" t="s">
        <v>1157</v>
      </c>
    </row>
    <row r="137" spans="4:7" x14ac:dyDescent="0.25">
      <c r="D137" s="153" t="s">
        <v>533</v>
      </c>
      <c r="E137" s="153" t="str">
        <f t="shared" si="4"/>
        <v>Ambassador arrives</v>
      </c>
      <c r="F137" s="161" t="s">
        <v>970</v>
      </c>
    </row>
    <row r="138" spans="4:7" x14ac:dyDescent="0.25">
      <c r="D138" s="153" t="s">
        <v>534</v>
      </c>
      <c r="E138" s="153" t="str">
        <f t="shared" si="4"/>
        <v>Insects swarm</v>
      </c>
      <c r="F138" s="161" t="s">
        <v>856</v>
      </c>
    </row>
    <row r="139" spans="4:7" x14ac:dyDescent="0.25">
      <c r="D139" s="153" t="s">
        <v>535</v>
      </c>
      <c r="E139" s="153" t="str">
        <f t="shared" si="4"/>
        <v>Amputation</v>
      </c>
      <c r="F139" s="161" t="s">
        <v>1025</v>
      </c>
    </row>
    <row r="140" spans="4:7" ht="60" x14ac:dyDescent="0.25">
      <c r="D140" s="153" t="s">
        <v>536</v>
      </c>
      <c r="E140" s="153" t="str">
        <f t="shared" si="4"/>
        <v>High tide</v>
      </c>
      <c r="F140" s="161" t="s">
        <v>959</v>
      </c>
      <c r="G140" s="161" t="s">
        <v>1199</v>
      </c>
    </row>
    <row r="141" spans="4:7" x14ac:dyDescent="0.25">
      <c r="D141" s="153" t="s">
        <v>537</v>
      </c>
      <c r="E141" s="153" t="str">
        <f t="shared" si="4"/>
        <v>Head twisting</v>
      </c>
      <c r="F141" s="161" t="s">
        <v>851</v>
      </c>
      <c r="G141" s="161" t="s">
        <v>1174</v>
      </c>
    </row>
    <row r="142" spans="4:7" x14ac:dyDescent="0.25">
      <c r="D142" s="153" t="s">
        <v>538</v>
      </c>
      <c r="E142" s="153" t="str">
        <f t="shared" si="4"/>
        <v>Decapitated</v>
      </c>
      <c r="F142" s="161" t="s">
        <v>1120</v>
      </c>
      <c r="G142" s="161" t="s">
        <v>1174</v>
      </c>
    </row>
    <row r="143" spans="4:7" x14ac:dyDescent="0.25">
      <c r="D143" s="153" t="s">
        <v>539</v>
      </c>
      <c r="E143" s="153" t="str">
        <f t="shared" si="4"/>
        <v>Person goes missing</v>
      </c>
      <c r="F143" s="161" t="s">
        <v>1048</v>
      </c>
    </row>
    <row r="144" spans="4:7" x14ac:dyDescent="0.25">
      <c r="D144" s="153" t="s">
        <v>540</v>
      </c>
      <c r="E144" s="153" t="str">
        <f t="shared" si="4"/>
        <v>Race lost</v>
      </c>
      <c r="F144" s="161" t="s">
        <v>845</v>
      </c>
    </row>
    <row r="145" spans="4:7" x14ac:dyDescent="0.25">
      <c r="D145" s="153" t="s">
        <v>541</v>
      </c>
      <c r="E145" s="153" t="str">
        <f t="shared" si="4"/>
        <v>Rib cracked</v>
      </c>
      <c r="F145" s="161" t="s">
        <v>403</v>
      </c>
    </row>
    <row r="146" spans="4:7" x14ac:dyDescent="0.25">
      <c r="D146" s="153" t="s">
        <v>542</v>
      </c>
      <c r="E146" s="153" t="str">
        <f t="shared" si="4"/>
        <v>Burglary</v>
      </c>
      <c r="F146" s="161" t="s">
        <v>975</v>
      </c>
    </row>
    <row r="147" spans="4:7" ht="45" x14ac:dyDescent="0.25">
      <c r="D147" s="153" t="s">
        <v>543</v>
      </c>
      <c r="E147" s="153" t="str">
        <f t="shared" si="4"/>
        <v>Bluff called</v>
      </c>
      <c r="F147" s="161" t="s">
        <v>1114</v>
      </c>
      <c r="G147" s="161" t="str">
        <f ca="1">CONCATENATE("Several adventurers become drunk and disorderly causing damage to property totalling ",RANDBETWEEN(1,2)," BP.")</f>
        <v>Several adventurers become drunk and disorderly causing damage to property totalling 2 BP.</v>
      </c>
    </row>
    <row r="148" spans="4:7" x14ac:dyDescent="0.25">
      <c r="D148" s="153" t="s">
        <v>544</v>
      </c>
      <c r="E148" s="153" t="str">
        <f t="shared" si="4"/>
        <v>Arson</v>
      </c>
      <c r="F148" s="161" t="s">
        <v>425</v>
      </c>
      <c r="G148" s="161" t="s">
        <v>1174</v>
      </c>
    </row>
    <row r="149" spans="4:7" x14ac:dyDescent="0.25">
      <c r="D149" s="153" t="s">
        <v>545</v>
      </c>
      <c r="E149" s="153" t="str">
        <f>RIGHT(D149,LEN(D149)-4)</f>
        <v>Struck by poison dart</v>
      </c>
      <c r="F149" s="161" t="s">
        <v>416</v>
      </c>
      <c r="G149" s="161" t="s">
        <v>1174</v>
      </c>
    </row>
    <row r="150" spans="4:7" x14ac:dyDescent="0.25">
      <c r="D150" s="153" t="s">
        <v>546</v>
      </c>
      <c r="E150" s="153" t="str">
        <f>RIGHT(D150,LEN(D150)-2)</f>
        <v>Forced march</v>
      </c>
      <c r="F150" s="161" t="s">
        <v>979</v>
      </c>
    </row>
    <row r="151" spans="4:7" x14ac:dyDescent="0.25">
      <c r="D151" s="153" t="s">
        <v>547</v>
      </c>
      <c r="E151" s="153" t="str">
        <f t="shared" ref="E151:E158" si="5">RIGHT(D151,LEN(D151)-2)</f>
        <v>Phony charity seeks donation</v>
      </c>
      <c r="F151" s="161" t="s">
        <v>901</v>
      </c>
    </row>
    <row r="152" spans="4:7" ht="60" x14ac:dyDescent="0.25">
      <c r="D152" s="153" t="s">
        <v>548</v>
      </c>
      <c r="E152" s="153" t="str">
        <f t="shared" si="5"/>
        <v>Castration</v>
      </c>
      <c r="F152" s="161" t="s">
        <v>1070</v>
      </c>
      <c r="G152" s="161" t="str">
        <f ca="1">CONCATENATE("[NO MAGIC SHOP = NON-EVENT] An unscrupulous merchant is caught shipping items illegally from the city. Lose ",RANDBETWEEN(1,3)," Minor and ",RANDBETWEEN(1,2)," Medium Items from a Magic Shop.")</f>
        <v>[NO MAGIC SHOP = NON-EVENT] An unscrupulous merchant is caught shipping items illegally from the city. Lose 3 Minor and 2 Medium Items from a Magic Shop.</v>
      </c>
    </row>
    <row r="153" spans="4:7" x14ac:dyDescent="0.25">
      <c r="D153" s="153" t="s">
        <v>549</v>
      </c>
      <c r="E153" s="153" t="str">
        <f t="shared" si="5"/>
        <v>Enlargement</v>
      </c>
      <c r="F153" s="161" t="s">
        <v>1041</v>
      </c>
      <c r="G153" s="161" t="s">
        <v>1174</v>
      </c>
    </row>
    <row r="154" spans="4:7" x14ac:dyDescent="0.25">
      <c r="D154" s="153" t="s">
        <v>550</v>
      </c>
      <c r="E154" s="153" t="str">
        <f t="shared" si="5"/>
        <v>Sky darkened by flock of birds</v>
      </c>
      <c r="F154" s="161" t="s">
        <v>896</v>
      </c>
      <c r="G154" s="161" t="s">
        <v>1174</v>
      </c>
    </row>
    <row r="155" spans="4:7" x14ac:dyDescent="0.25">
      <c r="D155" s="153" t="s">
        <v>551</v>
      </c>
      <c r="E155" s="153" t="str">
        <f t="shared" si="5"/>
        <v>Coma</v>
      </c>
      <c r="F155" s="161" t="s">
        <v>947</v>
      </c>
    </row>
    <row r="156" spans="4:7" x14ac:dyDescent="0.25">
      <c r="D156" s="153" t="s">
        <v>552</v>
      </c>
      <c r="E156" s="153" t="str">
        <f t="shared" si="5"/>
        <v>Garbling</v>
      </c>
      <c r="F156" s="161" t="s">
        <v>1125</v>
      </c>
    </row>
    <row r="157" spans="4:7" x14ac:dyDescent="0.25">
      <c r="D157" s="153" t="s">
        <v>553</v>
      </c>
      <c r="E157" s="153" t="str">
        <f t="shared" si="5"/>
        <v>Mutiny</v>
      </c>
      <c r="F157" s="161" t="s">
        <v>974</v>
      </c>
    </row>
    <row r="158" spans="4:7" x14ac:dyDescent="0.25">
      <c r="D158" s="153" t="s">
        <v>554</v>
      </c>
      <c r="E158" s="153" t="str">
        <f t="shared" si="5"/>
        <v>Fingernails pulled out</v>
      </c>
      <c r="F158" s="161" t="s">
        <v>1105</v>
      </c>
    </row>
    <row r="159" spans="4:7" x14ac:dyDescent="0.25">
      <c r="D159" s="153" t="s">
        <v>555</v>
      </c>
      <c r="E159" s="153" t="str">
        <f t="shared" si="4"/>
        <v>Abortion</v>
      </c>
      <c r="F159" s="161" t="s">
        <v>876</v>
      </c>
    </row>
    <row r="160" spans="4:7" x14ac:dyDescent="0.25">
      <c r="D160" s="153" t="s">
        <v>556</v>
      </c>
      <c r="E160" s="153" t="str">
        <f t="shared" si="4"/>
        <v>Star goes nova</v>
      </c>
      <c r="F160" s="161" t="s">
        <v>1161</v>
      </c>
    </row>
    <row r="161" spans="4:7" x14ac:dyDescent="0.25">
      <c r="D161" s="153" t="s">
        <v>557</v>
      </c>
      <c r="E161" s="153" t="str">
        <f t="shared" si="4"/>
        <v>Gain an advantage</v>
      </c>
      <c r="F161" s="161" t="s">
        <v>929</v>
      </c>
      <c r="G161" s="161" t="s">
        <v>1174</v>
      </c>
    </row>
    <row r="162" spans="4:7" x14ac:dyDescent="0.25">
      <c r="D162" s="153" t="s">
        <v>558</v>
      </c>
      <c r="E162" s="153" t="str">
        <f t="shared" si="4"/>
        <v>Concealment of birth</v>
      </c>
      <c r="F162" s="161" t="s">
        <v>1047</v>
      </c>
    </row>
    <row r="163" spans="4:7" x14ac:dyDescent="0.25">
      <c r="D163" s="153" t="s">
        <v>559</v>
      </c>
      <c r="E163" s="153" t="str">
        <f t="shared" si="4"/>
        <v>Protection removed</v>
      </c>
      <c r="F163" s="161" t="s">
        <v>1029</v>
      </c>
    </row>
    <row r="164" spans="4:7" x14ac:dyDescent="0.25">
      <c r="D164" s="153" t="s">
        <v>560</v>
      </c>
      <c r="E164" s="153" t="str">
        <f t="shared" si="4"/>
        <v>Negligence</v>
      </c>
      <c r="F164" s="161" t="s">
        <v>962</v>
      </c>
    </row>
    <row r="165" spans="4:7" x14ac:dyDescent="0.25">
      <c r="D165" s="153" t="s">
        <v>561</v>
      </c>
      <c r="E165" s="153" t="str">
        <f t="shared" si="4"/>
        <v>Disease contracted</v>
      </c>
      <c r="F165" s="161" t="s">
        <v>1043</v>
      </c>
    </row>
    <row r="166" spans="4:7" ht="75" x14ac:dyDescent="0.25">
      <c r="D166" s="153" t="s">
        <v>562</v>
      </c>
      <c r="E166" s="153" t="str">
        <f t="shared" si="4"/>
        <v>Search for an item</v>
      </c>
      <c r="F166" s="161" t="s">
        <v>1190</v>
      </c>
      <c r="G166" s="161" t="s">
        <v>1200</v>
      </c>
    </row>
    <row r="167" spans="4:7" x14ac:dyDescent="0.25">
      <c r="D167" s="153" t="s">
        <v>563</v>
      </c>
      <c r="E167" s="153" t="str">
        <f t="shared" si="4"/>
        <v>Innocent bystander disfigured</v>
      </c>
      <c r="F167" s="161" t="s">
        <v>1049</v>
      </c>
    </row>
    <row r="168" spans="4:7" x14ac:dyDescent="0.25">
      <c r="D168" s="153" t="s">
        <v>564</v>
      </c>
      <c r="E168" s="153" t="str">
        <f t="shared" si="4"/>
        <v>Eye peeking through hole</v>
      </c>
      <c r="F168" s="161" t="s">
        <v>1100</v>
      </c>
      <c r="G168" s="161" t="s">
        <v>1174</v>
      </c>
    </row>
    <row r="169" spans="4:7" x14ac:dyDescent="0.25">
      <c r="D169" s="153" t="s">
        <v>565</v>
      </c>
      <c r="E169" s="153" t="str">
        <f t="shared" si="4"/>
        <v>Hostage killed</v>
      </c>
      <c r="F169" s="161" t="s">
        <v>1135</v>
      </c>
      <c r="G169" s="161" t="s">
        <v>1174</v>
      </c>
    </row>
    <row r="170" spans="4:7" x14ac:dyDescent="0.25">
      <c r="D170" s="153" t="s">
        <v>566</v>
      </c>
      <c r="E170" s="153" t="str">
        <f t="shared" si="4"/>
        <v>Valuable item misplaced</v>
      </c>
      <c r="F170" s="161" t="s">
        <v>1162</v>
      </c>
    </row>
    <row r="171" spans="4:7" x14ac:dyDescent="0.25">
      <c r="D171" s="153" t="s">
        <v>567</v>
      </c>
      <c r="E171" s="153" t="str">
        <f t="shared" si="4"/>
        <v>Pornographic items found</v>
      </c>
      <c r="F171" s="161" t="s">
        <v>1058</v>
      </c>
    </row>
    <row r="172" spans="4:7" x14ac:dyDescent="0.25">
      <c r="D172" s="153" t="s">
        <v>568</v>
      </c>
      <c r="E172" s="153" t="str">
        <f t="shared" si="4"/>
        <v>Musical performance</v>
      </c>
      <c r="F172" s="161" t="s">
        <v>849</v>
      </c>
      <c r="G172" s="161" t="s">
        <v>1174</v>
      </c>
    </row>
    <row r="173" spans="4:7" x14ac:dyDescent="0.25">
      <c r="D173" s="153" t="s">
        <v>569</v>
      </c>
      <c r="E173" s="153" t="str">
        <f t="shared" si="4"/>
        <v>Kidnapping</v>
      </c>
      <c r="F173" s="161" t="s">
        <v>952</v>
      </c>
    </row>
    <row r="174" spans="4:7" x14ac:dyDescent="0.25">
      <c r="D174" s="153" t="s">
        <v>570</v>
      </c>
      <c r="E174" s="153" t="str">
        <f t="shared" si="4"/>
        <v>Shooting star</v>
      </c>
      <c r="F174" s="161" t="s">
        <v>1081</v>
      </c>
    </row>
    <row r="175" spans="4:7" ht="60" x14ac:dyDescent="0.25">
      <c r="D175" s="153" t="s">
        <v>571</v>
      </c>
      <c r="E175" s="153" t="str">
        <f t="shared" si="4"/>
        <v>Bigamy</v>
      </c>
      <c r="F175" s="161" t="s">
        <v>891</v>
      </c>
      <c r="G175" s="161" t="s">
        <v>1222</v>
      </c>
    </row>
    <row r="176" spans="4:7" x14ac:dyDescent="0.25">
      <c r="D176" s="153" t="s">
        <v>572</v>
      </c>
      <c r="E176" s="153" t="str">
        <f t="shared" si="4"/>
        <v>New species of animal discovered</v>
      </c>
      <c r="F176" s="161" t="s">
        <v>855</v>
      </c>
      <c r="G176" s="161" t="s">
        <v>1174</v>
      </c>
    </row>
    <row r="177" spans="4:7" x14ac:dyDescent="0.25">
      <c r="D177" s="153" t="s">
        <v>573</v>
      </c>
      <c r="E177" s="153" t="str">
        <f t="shared" si="4"/>
        <v>Shouting</v>
      </c>
      <c r="F177" s="161" t="s">
        <v>870</v>
      </c>
      <c r="G177" s="161" t="s">
        <v>1174</v>
      </c>
    </row>
    <row r="178" spans="4:7" x14ac:dyDescent="0.25">
      <c r="D178" s="153" t="s">
        <v>574</v>
      </c>
      <c r="E178" s="153" t="str">
        <f t="shared" si="4"/>
        <v>Discovery of species thought to be extinct</v>
      </c>
      <c r="F178" s="161" t="s">
        <v>1068</v>
      </c>
    </row>
    <row r="179" spans="4:7" x14ac:dyDescent="0.25">
      <c r="D179" s="153" t="s">
        <v>575</v>
      </c>
      <c r="E179" s="153" t="str">
        <f t="shared" si="4"/>
        <v>Illness</v>
      </c>
      <c r="F179" s="161" t="s">
        <v>1034</v>
      </c>
    </row>
    <row r="180" spans="4:7" x14ac:dyDescent="0.25">
      <c r="D180" s="153" t="s">
        <v>576</v>
      </c>
      <c r="E180" s="153" t="str">
        <f t="shared" si="4"/>
        <v>Murder</v>
      </c>
      <c r="F180" s="161" t="s">
        <v>1133</v>
      </c>
      <c r="G180" s="161" t="s">
        <v>1174</v>
      </c>
    </row>
    <row r="181" spans="4:7" x14ac:dyDescent="0.25">
      <c r="D181" s="153" t="s">
        <v>577</v>
      </c>
      <c r="E181" s="153" t="str">
        <f t="shared" si="4"/>
        <v>Person grows weaker</v>
      </c>
      <c r="F181" s="161" t="s">
        <v>944</v>
      </c>
    </row>
    <row r="182" spans="4:7" x14ac:dyDescent="0.25">
      <c r="D182" s="153" t="s">
        <v>578</v>
      </c>
      <c r="E182" s="153" t="str">
        <f t="shared" si="4"/>
        <v>Exile</v>
      </c>
      <c r="F182" s="161" t="s">
        <v>883</v>
      </c>
    </row>
    <row r="183" spans="4:7" x14ac:dyDescent="0.25">
      <c r="D183" s="153" t="s">
        <v>579</v>
      </c>
      <c r="E183" s="153" t="str">
        <f t="shared" si="4"/>
        <v>Drugging</v>
      </c>
      <c r="F183" s="161" t="s">
        <v>1057</v>
      </c>
    </row>
    <row r="184" spans="4:7" x14ac:dyDescent="0.25">
      <c r="D184" s="153" t="s">
        <v>580</v>
      </c>
      <c r="E184" s="153" t="str">
        <f t="shared" si="4"/>
        <v>Plague</v>
      </c>
      <c r="F184" s="161" t="s">
        <v>1160</v>
      </c>
    </row>
    <row r="185" spans="4:7" x14ac:dyDescent="0.25">
      <c r="D185" s="153" t="s">
        <v>581</v>
      </c>
      <c r="E185" s="153" t="str">
        <f t="shared" si="4"/>
        <v>Bluffing</v>
      </c>
      <c r="F185" s="161" t="s">
        <v>1159</v>
      </c>
    </row>
    <row r="186" spans="4:7" ht="60" x14ac:dyDescent="0.25">
      <c r="D186" s="153" t="s">
        <v>582</v>
      </c>
      <c r="E186" s="153" t="str">
        <f t="shared" si="4"/>
        <v>City / village razed</v>
      </c>
      <c r="F186" s="161" t="s">
        <v>1063</v>
      </c>
      <c r="G186" s="161" t="s">
        <v>1191</v>
      </c>
    </row>
    <row r="187" spans="4:7" x14ac:dyDescent="0.25">
      <c r="D187" s="153" t="s">
        <v>583</v>
      </c>
      <c r="E187" s="153" t="str">
        <f t="shared" si="4"/>
        <v>Libel</v>
      </c>
      <c r="F187" s="161" t="s">
        <v>1165</v>
      </c>
      <c r="G187" s="161" t="s">
        <v>1174</v>
      </c>
    </row>
    <row r="188" spans="4:7" x14ac:dyDescent="0.25">
      <c r="D188" s="153" t="s">
        <v>584</v>
      </c>
      <c r="E188" s="153" t="str">
        <f t="shared" ref="E188:E248" si="6">RIGHT(D188,LEN(D188)-3)</f>
        <v>Eclipse of moon</v>
      </c>
      <c r="F188" s="161" t="s">
        <v>955</v>
      </c>
    </row>
    <row r="189" spans="4:7" x14ac:dyDescent="0.25">
      <c r="D189" s="153" t="s">
        <v>585</v>
      </c>
      <c r="E189" s="153" t="str">
        <f t="shared" si="6"/>
        <v>Brawl</v>
      </c>
      <c r="F189" s="161" t="s">
        <v>950</v>
      </c>
    </row>
    <row r="190" spans="4:7" x14ac:dyDescent="0.25">
      <c r="D190" s="153" t="s">
        <v>586</v>
      </c>
      <c r="E190" s="153" t="str">
        <f t="shared" si="6"/>
        <v>Loitering</v>
      </c>
      <c r="F190" s="161" t="s">
        <v>1015</v>
      </c>
    </row>
    <row r="191" spans="4:7" x14ac:dyDescent="0.25">
      <c r="D191" s="153" t="s">
        <v>587</v>
      </c>
      <c r="E191" s="153" t="str">
        <f t="shared" si="6"/>
        <v>Blinded by dust</v>
      </c>
      <c r="F191" s="161" t="s">
        <v>908</v>
      </c>
    </row>
    <row r="192" spans="4:7" x14ac:dyDescent="0.25">
      <c r="D192" s="153" t="s">
        <v>588</v>
      </c>
      <c r="E192" s="153" t="str">
        <f t="shared" si="6"/>
        <v>Hospitality denied</v>
      </c>
      <c r="F192" s="161" t="s">
        <v>1151</v>
      </c>
    </row>
    <row r="193" spans="4:7" x14ac:dyDescent="0.25">
      <c r="D193" s="153" t="s">
        <v>589</v>
      </c>
      <c r="E193" s="153" t="str">
        <f t="shared" si="6"/>
        <v>'Miracle' drug/herb for sale</v>
      </c>
      <c r="F193" s="161" t="s">
        <v>1088</v>
      </c>
    </row>
    <row r="194" spans="4:7" x14ac:dyDescent="0.25">
      <c r="D194" s="153" t="s">
        <v>590</v>
      </c>
      <c r="E194" s="153" t="str">
        <f t="shared" si="6"/>
        <v>Comparison made</v>
      </c>
      <c r="F194" s="161" t="s">
        <v>1018</v>
      </c>
    </row>
    <row r="195" spans="4:7" ht="75" x14ac:dyDescent="0.25">
      <c r="D195" s="153" t="s">
        <v>591</v>
      </c>
      <c r="E195" s="153" t="str">
        <f t="shared" si="6"/>
        <v>Hurricane</v>
      </c>
      <c r="F195" s="161" t="s">
        <v>1012</v>
      </c>
      <c r="G195" s="161" t="s">
        <v>1192</v>
      </c>
    </row>
    <row r="196" spans="4:7" x14ac:dyDescent="0.25">
      <c r="D196" s="153" t="s">
        <v>592</v>
      </c>
      <c r="E196" s="153" t="str">
        <f t="shared" si="6"/>
        <v>Tide comes in</v>
      </c>
      <c r="F196" s="161" t="s">
        <v>1103</v>
      </c>
    </row>
    <row r="197" spans="4:7" x14ac:dyDescent="0.25">
      <c r="D197" s="153" t="s">
        <v>593</v>
      </c>
      <c r="E197" s="153" t="str">
        <f t="shared" si="6"/>
        <v>Orphaned</v>
      </c>
      <c r="F197" s="161" t="s">
        <v>898</v>
      </c>
    </row>
    <row r="198" spans="4:7" x14ac:dyDescent="0.25">
      <c r="D198" s="153" t="s">
        <v>594</v>
      </c>
      <c r="E198" s="153" t="str">
        <f t="shared" si="6"/>
        <v>Sacrifice</v>
      </c>
      <c r="F198" s="161" t="s">
        <v>894</v>
      </c>
      <c r="G198" s="161" t="s">
        <v>1174</v>
      </c>
    </row>
    <row r="199" spans="4:7" x14ac:dyDescent="0.25">
      <c r="D199" s="153" t="s">
        <v>595</v>
      </c>
      <c r="E199" s="153" t="str">
        <f t="shared" si="6"/>
        <v>Burned alive</v>
      </c>
      <c r="F199" s="161" t="s">
        <v>1055</v>
      </c>
      <c r="G199" s="161" t="s">
        <v>1174</v>
      </c>
    </row>
    <row r="200" spans="4:7" x14ac:dyDescent="0.25">
      <c r="D200" s="153" t="s">
        <v>596</v>
      </c>
      <c r="E200" s="153" t="str">
        <f t="shared" si="6"/>
        <v>Confession to a crime</v>
      </c>
      <c r="F200" s="161" t="s">
        <v>900</v>
      </c>
      <c r="G200" s="161" t="s">
        <v>1174</v>
      </c>
    </row>
    <row r="201" spans="4:7" x14ac:dyDescent="0.25">
      <c r="D201" s="153" t="s">
        <v>597</v>
      </c>
      <c r="E201" s="153" t="str">
        <f t="shared" si="6"/>
        <v>Treaty made</v>
      </c>
      <c r="F201" s="161" t="s">
        <v>935</v>
      </c>
    </row>
    <row r="202" spans="4:7" x14ac:dyDescent="0.25">
      <c r="D202" s="153" t="s">
        <v>598</v>
      </c>
      <c r="E202" s="153" t="str">
        <f t="shared" si="6"/>
        <v>Curse placed on someone</v>
      </c>
      <c r="F202" s="161" t="s">
        <v>1102</v>
      </c>
    </row>
    <row r="203" spans="4:7" x14ac:dyDescent="0.25">
      <c r="D203" s="153" t="s">
        <v>599</v>
      </c>
      <c r="E203" s="153" t="str">
        <f t="shared" si="6"/>
        <v>Human trafficking</v>
      </c>
      <c r="F203" s="161" t="s">
        <v>1128</v>
      </c>
    </row>
    <row r="204" spans="4:7" x14ac:dyDescent="0.25">
      <c r="D204" s="153" t="s">
        <v>600</v>
      </c>
      <c r="E204" s="153" t="str">
        <f t="shared" si="6"/>
        <v>Pornographic items created</v>
      </c>
      <c r="F204" s="161" t="s">
        <v>1060</v>
      </c>
    </row>
    <row r="205" spans="4:7" x14ac:dyDescent="0.25">
      <c r="D205" s="153" t="s">
        <v>601</v>
      </c>
      <c r="E205" s="153" t="str">
        <f t="shared" si="6"/>
        <v>Hair extraction</v>
      </c>
      <c r="F205" s="161" t="s">
        <v>1121</v>
      </c>
    </row>
    <row r="206" spans="4:7" x14ac:dyDescent="0.25">
      <c r="D206" s="153" t="s">
        <v>602</v>
      </c>
      <c r="E206" s="153" t="str">
        <f t="shared" si="6"/>
        <v>Spying</v>
      </c>
      <c r="F206" s="161" t="s">
        <v>934</v>
      </c>
    </row>
    <row r="207" spans="4:7" x14ac:dyDescent="0.25">
      <c r="D207" s="153" t="s">
        <v>603</v>
      </c>
      <c r="E207" s="153" t="str">
        <f t="shared" si="6"/>
        <v>Teeth pulled</v>
      </c>
      <c r="F207" s="161" t="s">
        <v>982</v>
      </c>
    </row>
    <row r="208" spans="4:7" x14ac:dyDescent="0.25">
      <c r="D208" s="153" t="s">
        <v>604</v>
      </c>
      <c r="E208" s="153" t="str">
        <f t="shared" si="6"/>
        <v>Pilgrimage</v>
      </c>
      <c r="F208" s="161" t="s">
        <v>963</v>
      </c>
    </row>
    <row r="209" spans="4:7" x14ac:dyDescent="0.25">
      <c r="D209" s="153" t="s">
        <v>605</v>
      </c>
      <c r="E209" s="153" t="str">
        <f t="shared" si="6"/>
        <v>Mediocrity</v>
      </c>
      <c r="F209" s="161" t="s">
        <v>928</v>
      </c>
    </row>
    <row r="210" spans="4:7" x14ac:dyDescent="0.25">
      <c r="D210" s="153" t="s">
        <v>606</v>
      </c>
      <c r="E210" s="153" t="str">
        <f t="shared" si="6"/>
        <v>Crime wave</v>
      </c>
      <c r="F210" s="161" t="s">
        <v>992</v>
      </c>
      <c r="G210" s="161" t="s">
        <v>1174</v>
      </c>
    </row>
    <row r="211" spans="4:7" x14ac:dyDescent="0.25">
      <c r="D211" s="153" t="s">
        <v>607</v>
      </c>
      <c r="E211" s="153" t="str">
        <f t="shared" si="6"/>
        <v>Indecent exposure</v>
      </c>
      <c r="F211" s="161" t="s">
        <v>985</v>
      </c>
    </row>
    <row r="212" spans="4:7" x14ac:dyDescent="0.25">
      <c r="D212" s="153" t="s">
        <v>608</v>
      </c>
      <c r="E212" s="153" t="str">
        <f t="shared" si="6"/>
        <v>Riot</v>
      </c>
      <c r="F212" s="161" t="s">
        <v>1144</v>
      </c>
    </row>
    <row r="213" spans="4:7" x14ac:dyDescent="0.25">
      <c r="D213" s="153" t="s">
        <v>609</v>
      </c>
      <c r="E213" s="153" t="str">
        <f t="shared" si="6"/>
        <v>Lost temper</v>
      </c>
      <c r="F213" s="161" t="s">
        <v>971</v>
      </c>
    </row>
    <row r="214" spans="4:7" x14ac:dyDescent="0.25">
      <c r="D214" s="153" t="s">
        <v>610</v>
      </c>
      <c r="E214" s="153" t="str">
        <f t="shared" si="6"/>
        <v>Pillaging</v>
      </c>
      <c r="F214" s="161" t="s">
        <v>1008</v>
      </c>
    </row>
    <row r="215" spans="4:7" x14ac:dyDescent="0.25">
      <c r="D215" s="153" t="s">
        <v>611</v>
      </c>
      <c r="E215" s="153" t="str">
        <f t="shared" si="6"/>
        <v>Blinded in one eye</v>
      </c>
      <c r="F215" s="161" t="s">
        <v>1077</v>
      </c>
    </row>
    <row r="216" spans="4:7" x14ac:dyDescent="0.25">
      <c r="D216" s="153" t="s">
        <v>612</v>
      </c>
      <c r="E216" s="153" t="str">
        <f t="shared" si="6"/>
        <v>Stray pet found</v>
      </c>
      <c r="F216" s="161" t="s">
        <v>1127</v>
      </c>
    </row>
    <row r="217" spans="4:7" x14ac:dyDescent="0.25">
      <c r="D217" s="153" t="s">
        <v>613</v>
      </c>
      <c r="E217" s="153" t="str">
        <f t="shared" si="6"/>
        <v>Truth is discovered</v>
      </c>
      <c r="F217" s="161" t="s">
        <v>912</v>
      </c>
      <c r="G217" s="161" t="s">
        <v>1174</v>
      </c>
    </row>
    <row r="218" spans="4:7" x14ac:dyDescent="0.25">
      <c r="D218" s="153" t="s">
        <v>614</v>
      </c>
      <c r="E218" s="153" t="str">
        <f t="shared" si="6"/>
        <v>Serial killings</v>
      </c>
      <c r="F218" s="161" t="s">
        <v>999</v>
      </c>
    </row>
    <row r="219" spans="4:7" x14ac:dyDescent="0.25">
      <c r="D219" s="153" t="s">
        <v>615</v>
      </c>
      <c r="E219" s="153" t="str">
        <f t="shared" si="6"/>
        <v>Indemnification</v>
      </c>
      <c r="F219" s="161" t="s">
        <v>1007</v>
      </c>
    </row>
    <row r="220" spans="4:7" x14ac:dyDescent="0.25">
      <c r="D220" s="153" t="s">
        <v>616</v>
      </c>
      <c r="E220" s="153" t="str">
        <f t="shared" si="6"/>
        <v>Immersed in hot liquid</v>
      </c>
      <c r="F220" s="161" t="s">
        <v>1021</v>
      </c>
    </row>
    <row r="221" spans="4:7" ht="75" x14ac:dyDescent="0.25">
      <c r="D221" s="153" t="s">
        <v>617</v>
      </c>
      <c r="E221" s="153" t="str">
        <f t="shared" si="6"/>
        <v>Balance maintained</v>
      </c>
      <c r="F221" s="161" t="s">
        <v>1035</v>
      </c>
      <c r="G221" s="161" t="str">
        <f ca="1">CONCATENATE("[CONTINUOUS, NO TAX = NON-EVENT] The people are unhappy with the current level of taxation. Reduce the tax level to None for ",RANDBETWEEN(1,3)," months otherwise increase Unrest by 2 for each month the tax is not reduced.")</f>
        <v>[CONTINUOUS, NO TAX = NON-EVENT] The people are unhappy with the current level of taxation. Reduce the tax level to None for 2 months otherwise increase Unrest by 2 for each month the tax is not reduced.</v>
      </c>
    </row>
    <row r="222" spans="4:7" x14ac:dyDescent="0.25">
      <c r="D222" s="153" t="s">
        <v>618</v>
      </c>
      <c r="E222" s="153" t="str">
        <f t="shared" si="6"/>
        <v>Destruction of property</v>
      </c>
      <c r="F222" s="161" t="s">
        <v>1093</v>
      </c>
    </row>
    <row r="223" spans="4:7" x14ac:dyDescent="0.25">
      <c r="D223" s="153" t="s">
        <v>619</v>
      </c>
      <c r="E223" s="153" t="str">
        <f t="shared" si="6"/>
        <v>Reproduction sold as original</v>
      </c>
      <c r="F223" s="161" t="s">
        <v>961</v>
      </c>
    </row>
    <row r="224" spans="4:7" x14ac:dyDescent="0.25">
      <c r="D224" s="153" t="s">
        <v>620</v>
      </c>
      <c r="E224" s="153" t="str">
        <f t="shared" si="6"/>
        <v>Eclipse of sun</v>
      </c>
      <c r="F224" s="161" t="s">
        <v>847</v>
      </c>
    </row>
    <row r="225" spans="4:7" x14ac:dyDescent="0.25">
      <c r="D225" s="153" t="s">
        <v>621</v>
      </c>
      <c r="E225" s="153" t="str">
        <f t="shared" si="6"/>
        <v>Target practice</v>
      </c>
      <c r="F225" s="161" t="s">
        <v>861</v>
      </c>
    </row>
    <row r="226" spans="4:7" x14ac:dyDescent="0.25">
      <c r="D226" s="153" t="s">
        <v>622</v>
      </c>
      <c r="E226" s="153" t="str">
        <f t="shared" si="6"/>
        <v>Grave robbery</v>
      </c>
      <c r="F226" s="161" t="s">
        <v>911</v>
      </c>
    </row>
    <row r="227" spans="4:7" x14ac:dyDescent="0.25">
      <c r="D227" s="153" t="s">
        <v>623</v>
      </c>
      <c r="E227" s="153" t="str">
        <f t="shared" si="6"/>
        <v>Prison break</v>
      </c>
      <c r="F227" s="161" t="s">
        <v>932</v>
      </c>
    </row>
    <row r="228" spans="4:7" x14ac:dyDescent="0.25">
      <c r="D228" s="153" t="s">
        <v>624</v>
      </c>
      <c r="E228" s="153" t="str">
        <f t="shared" si="6"/>
        <v>New race discovered</v>
      </c>
      <c r="F228" s="161" t="s">
        <v>1099</v>
      </c>
    </row>
    <row r="229" spans="4:7" x14ac:dyDescent="0.25">
      <c r="D229" s="153" t="s">
        <v>625</v>
      </c>
      <c r="E229" s="153" t="str">
        <f t="shared" si="6"/>
        <v>Garroting</v>
      </c>
      <c r="F229" s="161" t="s">
        <v>411</v>
      </c>
    </row>
    <row r="230" spans="4:7" x14ac:dyDescent="0.25">
      <c r="D230" s="153" t="s">
        <v>626</v>
      </c>
      <c r="E230" s="153" t="str">
        <f t="shared" si="6"/>
        <v>Screaming</v>
      </c>
      <c r="F230" s="161" t="s">
        <v>1027</v>
      </c>
    </row>
    <row r="231" spans="4:7" ht="60" x14ac:dyDescent="0.25">
      <c r="D231" s="153" t="s">
        <v>627</v>
      </c>
      <c r="E231" s="153" t="str">
        <f t="shared" si="6"/>
        <v>Valuable item dropped</v>
      </c>
      <c r="F231" s="161" t="s">
        <v>1201</v>
      </c>
      <c r="G231" s="161" t="s">
        <v>1193</v>
      </c>
    </row>
    <row r="232" spans="4:7" x14ac:dyDescent="0.25">
      <c r="D232" s="153" t="s">
        <v>628</v>
      </c>
      <c r="E232" s="153" t="str">
        <f t="shared" si="6"/>
        <v>Ownership of land changes</v>
      </c>
      <c r="F232" s="161" t="s">
        <v>978</v>
      </c>
    </row>
    <row r="233" spans="4:7" x14ac:dyDescent="0.25">
      <c r="D233" s="153" t="s">
        <v>629</v>
      </c>
      <c r="E233" s="153" t="str">
        <f t="shared" si="6"/>
        <v>Governing authority resigns</v>
      </c>
      <c r="F233" s="161" t="s">
        <v>1085</v>
      </c>
    </row>
    <row r="234" spans="4:7" x14ac:dyDescent="0.25">
      <c r="D234" s="153" t="s">
        <v>630</v>
      </c>
      <c r="E234" s="153" t="str">
        <f t="shared" si="6"/>
        <v>Ownership of valuable item changes</v>
      </c>
      <c r="F234" s="161" t="s">
        <v>980</v>
      </c>
    </row>
    <row r="235" spans="4:7" x14ac:dyDescent="0.25">
      <c r="D235" s="153" t="s">
        <v>631</v>
      </c>
      <c r="E235" s="153" t="str">
        <f t="shared" si="6"/>
        <v>Compensation</v>
      </c>
      <c r="F235" s="161" t="s">
        <v>1001</v>
      </c>
    </row>
    <row r="236" spans="4:7" x14ac:dyDescent="0.25">
      <c r="D236" s="153" t="s">
        <v>632</v>
      </c>
      <c r="E236" s="153" t="str">
        <f t="shared" si="6"/>
        <v>Inequality</v>
      </c>
      <c r="F236" s="161" t="s">
        <v>872</v>
      </c>
    </row>
    <row r="237" spans="4:7" x14ac:dyDescent="0.25">
      <c r="D237" s="153" t="s">
        <v>633</v>
      </c>
      <c r="E237" s="153" t="str">
        <f t="shared" si="6"/>
        <v>Low tide</v>
      </c>
      <c r="F237" s="161" t="s">
        <v>865</v>
      </c>
    </row>
    <row r="238" spans="4:7" x14ac:dyDescent="0.25">
      <c r="D238" s="153" t="s">
        <v>634</v>
      </c>
      <c r="E238" s="153" t="str">
        <f t="shared" si="6"/>
        <v>Pet is stolen</v>
      </c>
      <c r="F238" s="161" t="s">
        <v>1089</v>
      </c>
    </row>
    <row r="239" spans="4:7" x14ac:dyDescent="0.25">
      <c r="D239" s="153" t="s">
        <v>635</v>
      </c>
      <c r="E239" s="153" t="str">
        <f t="shared" si="6"/>
        <v>Ascension</v>
      </c>
      <c r="F239" s="161" t="s">
        <v>427</v>
      </c>
    </row>
    <row r="240" spans="4:7" x14ac:dyDescent="0.25">
      <c r="D240" s="153" t="s">
        <v>636</v>
      </c>
      <c r="E240" s="153" t="str">
        <f t="shared" si="6"/>
        <v>Blinded in both eyes</v>
      </c>
      <c r="F240" s="161" t="s">
        <v>925</v>
      </c>
    </row>
    <row r="241" spans="4:7" x14ac:dyDescent="0.25">
      <c r="D241" s="153" t="s">
        <v>637</v>
      </c>
      <c r="E241" s="153" t="str">
        <f t="shared" si="6"/>
        <v>Discrimination</v>
      </c>
      <c r="F241" s="161" t="s">
        <v>1076</v>
      </c>
    </row>
    <row r="242" spans="4:7" x14ac:dyDescent="0.25">
      <c r="D242" s="153" t="s">
        <v>638</v>
      </c>
      <c r="E242" s="153" t="str">
        <f t="shared" si="6"/>
        <v>Siege</v>
      </c>
      <c r="F242" s="161" t="s">
        <v>1138</v>
      </c>
    </row>
    <row r="243" spans="4:7" x14ac:dyDescent="0.25">
      <c r="D243" s="153" t="s">
        <v>639</v>
      </c>
      <c r="E243" s="153" t="str">
        <f t="shared" si="6"/>
        <v>New land discovered</v>
      </c>
      <c r="F243" s="161" t="s">
        <v>1054</v>
      </c>
    </row>
    <row r="244" spans="4:7" x14ac:dyDescent="0.25">
      <c r="D244" s="153" t="s">
        <v>640</v>
      </c>
      <c r="E244" s="153" t="str">
        <f t="shared" si="6"/>
        <v>Forced to kill someone else</v>
      </c>
      <c r="F244" s="161" t="s">
        <v>997</v>
      </c>
    </row>
    <row r="245" spans="4:7" ht="75" x14ac:dyDescent="0.25">
      <c r="D245" s="153" t="s">
        <v>641</v>
      </c>
      <c r="E245" s="153" t="str">
        <f t="shared" si="6"/>
        <v>Knifed</v>
      </c>
      <c r="F245" s="161" t="s">
        <v>983</v>
      </c>
      <c r="G245" s="161" t="s">
        <v>1202</v>
      </c>
    </row>
    <row r="246" spans="4:7" x14ac:dyDescent="0.25">
      <c r="D246" s="153" t="s">
        <v>642</v>
      </c>
      <c r="E246" s="153" t="str">
        <f t="shared" si="6"/>
        <v>Misery</v>
      </c>
      <c r="F246" s="161" t="s">
        <v>1118</v>
      </c>
      <c r="G246" s="161" t="s">
        <v>1174</v>
      </c>
    </row>
    <row r="247" spans="4:7" x14ac:dyDescent="0.25">
      <c r="D247" s="153" t="s">
        <v>643</v>
      </c>
      <c r="E247" s="153" t="str">
        <f t="shared" si="6"/>
        <v>Troop movement</v>
      </c>
      <c r="F247" s="161" t="s">
        <v>927</v>
      </c>
    </row>
    <row r="248" spans="4:7" x14ac:dyDescent="0.25">
      <c r="D248" s="153" t="s">
        <v>644</v>
      </c>
      <c r="E248" s="153" t="str">
        <f t="shared" si="6"/>
        <v>Eye gouged out</v>
      </c>
      <c r="F248" s="161" t="s">
        <v>972</v>
      </c>
    </row>
    <row r="249" spans="4:7" ht="60" x14ac:dyDescent="0.25">
      <c r="D249" s="153" t="s">
        <v>645</v>
      </c>
      <c r="E249" s="153" t="str">
        <f>RIGHT(D249,LEN(D249)-4)</f>
        <v>Alignment of planets</v>
      </c>
      <c r="F249" s="161" t="s">
        <v>966</v>
      </c>
      <c r="G249" s="161" t="s">
        <v>1213</v>
      </c>
    </row>
    <row r="250" spans="4:7" x14ac:dyDescent="0.25">
      <c r="D250" s="153" t="s">
        <v>646</v>
      </c>
      <c r="E250" s="153" t="str">
        <f>RIGHT(D250,LEN(D250)-2)</f>
        <v>Ownership of pet changes</v>
      </c>
      <c r="F250" s="161" t="s">
        <v>951</v>
      </c>
    </row>
    <row r="251" spans="4:7" x14ac:dyDescent="0.25">
      <c r="D251" s="153" t="s">
        <v>647</v>
      </c>
      <c r="E251" s="153" t="str">
        <f t="shared" ref="E251:E258" si="7">RIGHT(D251,LEN(D251)-2)</f>
        <v>Shot</v>
      </c>
      <c r="F251" s="161" t="s">
        <v>958</v>
      </c>
    </row>
    <row r="252" spans="4:7" x14ac:dyDescent="0.25">
      <c r="D252" s="153" t="s">
        <v>648</v>
      </c>
      <c r="E252" s="153" t="str">
        <f t="shared" si="7"/>
        <v>New medicinal herb discovered</v>
      </c>
      <c r="F252" s="161" t="s">
        <v>1152</v>
      </c>
    </row>
    <row r="253" spans="4:7" ht="60" x14ac:dyDescent="0.25">
      <c r="D253" s="153" t="s">
        <v>649</v>
      </c>
      <c r="E253" s="153" t="str">
        <f t="shared" si="7"/>
        <v>Flesh torn</v>
      </c>
      <c r="F253" s="161" t="s">
        <v>866</v>
      </c>
      <c r="G253" s="161" t="s">
        <v>1212</v>
      </c>
    </row>
    <row r="254" spans="4:7" x14ac:dyDescent="0.25">
      <c r="D254" s="153" t="s">
        <v>650</v>
      </c>
      <c r="E254" s="153" t="str">
        <f t="shared" si="7"/>
        <v>Inflation</v>
      </c>
      <c r="F254" s="161" t="s">
        <v>1130</v>
      </c>
    </row>
    <row r="255" spans="4:7" x14ac:dyDescent="0.25">
      <c r="D255" s="153" t="s">
        <v>651</v>
      </c>
      <c r="E255" s="153" t="str">
        <f t="shared" si="7"/>
        <v>Reading of will</v>
      </c>
      <c r="F255" s="161" t="s">
        <v>848</v>
      </c>
    </row>
    <row r="256" spans="4:7" x14ac:dyDescent="0.25">
      <c r="D256" s="153" t="s">
        <v>652</v>
      </c>
      <c r="E256" s="153" t="str">
        <f t="shared" si="7"/>
        <v>Withdrawal</v>
      </c>
      <c r="F256" s="161" t="s">
        <v>897</v>
      </c>
    </row>
    <row r="257" spans="4:7" x14ac:dyDescent="0.25">
      <c r="D257" s="153" t="s">
        <v>653</v>
      </c>
      <c r="E257" s="153" t="str">
        <f t="shared" si="7"/>
        <v>Selling items without a license</v>
      </c>
      <c r="F257" s="161" t="s">
        <v>1033</v>
      </c>
    </row>
    <row r="258" spans="4:7" x14ac:dyDescent="0.25">
      <c r="D258" s="153" t="s">
        <v>654</v>
      </c>
      <c r="E258" s="153" t="str">
        <f t="shared" si="7"/>
        <v>Black hole discovered</v>
      </c>
      <c r="F258" s="161" t="s">
        <v>1139</v>
      </c>
    </row>
    <row r="259" spans="4:7" ht="58.5" customHeight="1" x14ac:dyDescent="0.25">
      <c r="D259" s="153" t="s">
        <v>655</v>
      </c>
      <c r="E259" s="153" t="str">
        <f>RIGHT(D259,LEN(D259)-3)</f>
        <v>Trip and fall</v>
      </c>
      <c r="F259" s="161" t="s">
        <v>1154</v>
      </c>
      <c r="G259" s="161" t="str">
        <f ca="1">CONCATENATE("A new plant is discovered by a ranger or hunter, renowned for its healing properties. Make an Economy check to increase the Treasury by ",RANDBETWEEN(1,4)," BP as you market the new herb far and wide.")</f>
        <v>A new plant is discovered by a ranger or hunter, renowned for its healing properties. Make an Economy check to increase the Treasury by 4 BP as you market the new herb far and wide.</v>
      </c>
    </row>
    <row r="260" spans="4:7" x14ac:dyDescent="0.25">
      <c r="D260" s="153" t="s">
        <v>656</v>
      </c>
      <c r="E260" s="153" t="str">
        <f t="shared" ref="E260:E323" si="8">RIGHT(D260,LEN(D260)-3)</f>
        <v>Emergency</v>
      </c>
      <c r="F260" s="161" t="s">
        <v>1014</v>
      </c>
    </row>
    <row r="261" spans="4:7" x14ac:dyDescent="0.25">
      <c r="D261" s="153" t="s">
        <v>657</v>
      </c>
      <c r="E261" s="153" t="str">
        <f t="shared" si="8"/>
        <v>Selling defective goods</v>
      </c>
      <c r="F261" s="161" t="s">
        <v>968</v>
      </c>
    </row>
    <row r="262" spans="4:7" x14ac:dyDescent="0.25">
      <c r="D262" s="153" t="s">
        <v>658</v>
      </c>
      <c r="E262" s="153" t="str">
        <f t="shared" si="8"/>
        <v>Religious ceremony</v>
      </c>
      <c r="F262" s="161" t="s">
        <v>873</v>
      </c>
    </row>
    <row r="263" spans="4:7" x14ac:dyDescent="0.25">
      <c r="D263" s="153" t="s">
        <v>659</v>
      </c>
      <c r="E263" s="153" t="str">
        <f t="shared" si="8"/>
        <v>Eyes watering/tearing</v>
      </c>
      <c r="F263" s="161" t="s">
        <v>1079</v>
      </c>
    </row>
    <row r="264" spans="4:7" x14ac:dyDescent="0.25">
      <c r="D264" s="153" t="s">
        <v>660</v>
      </c>
      <c r="E264" s="153" t="str">
        <f t="shared" si="8"/>
        <v>Reinforcements arrive</v>
      </c>
      <c r="F264" s="161" t="s">
        <v>1123</v>
      </c>
    </row>
    <row r="265" spans="4:7" x14ac:dyDescent="0.25">
      <c r="D265" s="153" t="s">
        <v>661</v>
      </c>
      <c r="E265" s="153" t="str">
        <f t="shared" si="8"/>
        <v>Reaction</v>
      </c>
      <c r="F265" s="161" t="s">
        <v>987</v>
      </c>
    </row>
    <row r="266" spans="4:7" x14ac:dyDescent="0.25">
      <c r="D266" s="153" t="s">
        <v>662</v>
      </c>
      <c r="E266" s="153" t="str">
        <f t="shared" si="8"/>
        <v>Death of a celebrity</v>
      </c>
      <c r="F266" s="161" t="s">
        <v>1017</v>
      </c>
    </row>
    <row r="267" spans="4:7" x14ac:dyDescent="0.25">
      <c r="D267" s="153" t="s">
        <v>663</v>
      </c>
      <c r="E267" s="153" t="str">
        <f t="shared" si="8"/>
        <v>Disagreement</v>
      </c>
      <c r="F267" s="161" t="s">
        <v>1031</v>
      </c>
    </row>
    <row r="268" spans="4:7" x14ac:dyDescent="0.25">
      <c r="D268" s="153" t="s">
        <v>664</v>
      </c>
      <c r="E268" s="153" t="str">
        <f t="shared" si="8"/>
        <v>Extraordinary astrological occurrence</v>
      </c>
      <c r="F268" s="161" t="s">
        <v>1019</v>
      </c>
    </row>
    <row r="269" spans="4:7" x14ac:dyDescent="0.25">
      <c r="D269" s="153" t="s">
        <v>665</v>
      </c>
      <c r="E269" s="153" t="str">
        <f t="shared" si="8"/>
        <v>Divorce</v>
      </c>
      <c r="F269" s="161" t="s">
        <v>1071</v>
      </c>
    </row>
    <row r="270" spans="4:7" x14ac:dyDescent="0.25">
      <c r="D270" s="153" t="s">
        <v>666</v>
      </c>
      <c r="E270" s="153" t="str">
        <f t="shared" si="8"/>
        <v>Enlargement</v>
      </c>
      <c r="F270" s="161" t="s">
        <v>857</v>
      </c>
    </row>
    <row r="271" spans="4:7" x14ac:dyDescent="0.25">
      <c r="D271" s="153" t="s">
        <v>667</v>
      </c>
      <c r="E271" s="153" t="str">
        <f t="shared" si="8"/>
        <v>False identity</v>
      </c>
      <c r="F271" s="161" t="s">
        <v>1145</v>
      </c>
    </row>
    <row r="272" spans="4:7" x14ac:dyDescent="0.25">
      <c r="D272" s="153" t="s">
        <v>668</v>
      </c>
      <c r="E272" s="153" t="str">
        <f t="shared" si="8"/>
        <v>Valuable item sold unaware of value</v>
      </c>
      <c r="F272" s="161" t="s">
        <v>937</v>
      </c>
    </row>
    <row r="273" spans="4:7" x14ac:dyDescent="0.25">
      <c r="D273" s="153" t="s">
        <v>669</v>
      </c>
      <c r="E273" s="153" t="str">
        <f t="shared" si="8"/>
        <v>Vehicle theft</v>
      </c>
      <c r="F273" s="161" t="s">
        <v>973</v>
      </c>
    </row>
    <row r="274" spans="4:7" x14ac:dyDescent="0.25">
      <c r="D274" s="153" t="s">
        <v>670</v>
      </c>
      <c r="E274" s="153" t="str">
        <f t="shared" si="8"/>
        <v>Blinded by sand</v>
      </c>
      <c r="F274" s="161" t="s">
        <v>1094</v>
      </c>
    </row>
    <row r="275" spans="4:7" x14ac:dyDescent="0.25">
      <c r="D275" s="153" t="s">
        <v>671</v>
      </c>
      <c r="E275" s="153" t="str">
        <f t="shared" si="8"/>
        <v>Ambassador departs</v>
      </c>
      <c r="F275" s="161" t="s">
        <v>1171</v>
      </c>
    </row>
    <row r="276" spans="4:7" x14ac:dyDescent="0.25">
      <c r="D276" s="153" t="s">
        <v>672</v>
      </c>
      <c r="E276" s="153" t="str">
        <f t="shared" si="8"/>
        <v>Measurement of time</v>
      </c>
      <c r="F276" s="161" t="s">
        <v>1022</v>
      </c>
    </row>
    <row r="277" spans="4:7" x14ac:dyDescent="0.25">
      <c r="D277" s="153" t="s">
        <v>673</v>
      </c>
      <c r="E277" s="153" t="str">
        <f t="shared" si="8"/>
        <v>Star goes nova</v>
      </c>
      <c r="F277" s="161" t="s">
        <v>945</v>
      </c>
    </row>
    <row r="278" spans="4:7" x14ac:dyDescent="0.25">
      <c r="D278" s="153" t="s">
        <v>674</v>
      </c>
      <c r="E278" s="153" t="str">
        <f t="shared" si="8"/>
        <v>Harboring a criminal</v>
      </c>
      <c r="F278" s="161" t="s">
        <v>996</v>
      </c>
    </row>
    <row r="279" spans="4:7" ht="90" x14ac:dyDescent="0.25">
      <c r="D279" s="153" t="s">
        <v>675</v>
      </c>
      <c r="E279" s="153" t="str">
        <f t="shared" si="8"/>
        <v>Portal opens</v>
      </c>
      <c r="F279" s="161" t="s">
        <v>1002</v>
      </c>
      <c r="G279" s="161" t="s">
        <v>1214</v>
      </c>
    </row>
    <row r="280" spans="4:7" ht="90" x14ac:dyDescent="0.25">
      <c r="D280" s="153" t="s">
        <v>676</v>
      </c>
      <c r="E280" s="153" t="str">
        <f t="shared" si="8"/>
        <v>Pressed with heavy weight</v>
      </c>
      <c r="F280" s="161" t="s">
        <v>890</v>
      </c>
      <c r="G280" s="161" t="str">
        <f ca="1">CONCATENATE("[CONTINUOUS, NO WATER BORDER = NON-EVENT] A group of disenfranchised fishermen set themselves up as pirates, raiding fishing and trading boats alike! Make a Defence check or lose ",RANDBETWEEN(1,2)," BP in resources each month until stopped.")</f>
        <v>[CONTINUOUS, NO WATER BORDER = NON-EVENT] A group of disenfranchised fishermen set themselves up as pirates, raiding fishing and trading boats alike! Make a Defence check or lose 1 BP in resources each month until stopped.</v>
      </c>
    </row>
    <row r="281" spans="4:7" x14ac:dyDescent="0.25">
      <c r="D281" s="153" t="s">
        <v>677</v>
      </c>
      <c r="E281" s="153" t="str">
        <f t="shared" si="8"/>
        <v>Forced to torture someone else</v>
      </c>
      <c r="F281" s="161" t="s">
        <v>69</v>
      </c>
    </row>
    <row r="282" spans="4:7" x14ac:dyDescent="0.25">
      <c r="D282" s="153" t="s">
        <v>678</v>
      </c>
      <c r="E282" s="153" t="str">
        <f t="shared" si="8"/>
        <v>False fortune tellers encountered</v>
      </c>
      <c r="F282" s="161" t="s">
        <v>1086</v>
      </c>
    </row>
    <row r="283" spans="4:7" x14ac:dyDescent="0.25">
      <c r="D283" s="153" t="s">
        <v>679</v>
      </c>
      <c r="E283" s="153" t="str">
        <f t="shared" si="8"/>
        <v>Feud ceases</v>
      </c>
      <c r="F283" s="161" t="s">
        <v>1173</v>
      </c>
    </row>
    <row r="284" spans="4:7" x14ac:dyDescent="0.25">
      <c r="D284" s="153" t="s">
        <v>680</v>
      </c>
      <c r="E284" s="153" t="str">
        <f t="shared" si="8"/>
        <v>Tortured on the rack</v>
      </c>
      <c r="F284" s="161" t="s">
        <v>1095</v>
      </c>
    </row>
    <row r="285" spans="4:7" x14ac:dyDescent="0.25">
      <c r="D285" s="153" t="s">
        <v>681</v>
      </c>
      <c r="E285" s="153" t="str">
        <f t="shared" si="8"/>
        <v>Hiccup</v>
      </c>
      <c r="F285" s="161" t="s">
        <v>993</v>
      </c>
    </row>
    <row r="286" spans="4:7" x14ac:dyDescent="0.25">
      <c r="D286" s="153" t="s">
        <v>682</v>
      </c>
      <c r="E286" s="153" t="str">
        <f t="shared" si="8"/>
        <v>Someone does something stupid</v>
      </c>
      <c r="F286" s="161" t="s">
        <v>965</v>
      </c>
    </row>
    <row r="287" spans="4:7" x14ac:dyDescent="0.25">
      <c r="D287" s="153" t="s">
        <v>683</v>
      </c>
      <c r="E287" s="153" t="str">
        <f t="shared" si="8"/>
        <v>Abandonment</v>
      </c>
      <c r="F287" s="161" t="s">
        <v>909</v>
      </c>
    </row>
    <row r="288" spans="4:7" x14ac:dyDescent="0.25">
      <c r="D288" s="153" t="s">
        <v>684</v>
      </c>
      <c r="E288" s="153" t="str">
        <f t="shared" si="8"/>
        <v>Accessory to murder</v>
      </c>
      <c r="F288" s="161" t="s">
        <v>902</v>
      </c>
    </row>
    <row r="289" spans="4:7" x14ac:dyDescent="0.25">
      <c r="D289" s="153" t="s">
        <v>685</v>
      </c>
      <c r="E289" s="153" t="str">
        <f t="shared" si="8"/>
        <v>Fugitive captured</v>
      </c>
      <c r="F289" s="161" t="s">
        <v>846</v>
      </c>
    </row>
    <row r="290" spans="4:7" x14ac:dyDescent="0.25">
      <c r="D290" s="153" t="s">
        <v>686</v>
      </c>
      <c r="E290" s="153" t="str">
        <f t="shared" si="8"/>
        <v>Death of a neighbor</v>
      </c>
      <c r="F290" s="161" t="s">
        <v>1056</v>
      </c>
    </row>
    <row r="291" spans="4:7" x14ac:dyDescent="0.25">
      <c r="D291" s="153" t="s">
        <v>687</v>
      </c>
      <c r="E291" s="153" t="str">
        <f t="shared" si="8"/>
        <v>Shipwreck</v>
      </c>
      <c r="F291" s="161" t="s">
        <v>1155</v>
      </c>
    </row>
    <row r="292" spans="4:7" ht="75" x14ac:dyDescent="0.25">
      <c r="D292" s="153" t="s">
        <v>688</v>
      </c>
      <c r="E292" s="153" t="str">
        <f t="shared" si="8"/>
        <v>Religious fanaticism</v>
      </c>
      <c r="F292" s="161" t="s">
        <v>1013</v>
      </c>
      <c r="G292" s="161" t="str">
        <f ca="1">CONCATENATE("[NO JAIL = NON-EVENT] Several prisoners manage to break out of the jail and flee into the surrounding hills. The Marshall must spend time hunting them down. Make a Stability check or increase Unrest by ",RANDBETWEEN(1,4),".")</f>
        <v>[NO JAIL = NON-EVENT] Several prisoners manage to break out of the jail and flee into the surrounding hills. The Marshall must spend time hunting them down. Make a Stability check or increase Unrest by 2.</v>
      </c>
    </row>
    <row r="293" spans="4:7" ht="60" x14ac:dyDescent="0.25">
      <c r="D293" s="153" t="s">
        <v>689</v>
      </c>
      <c r="E293" s="153" t="str">
        <f t="shared" si="8"/>
        <v>Revenge</v>
      </c>
      <c r="F293" s="161" t="s">
        <v>1164</v>
      </c>
      <c r="G293" s="161" t="s">
        <v>1211</v>
      </c>
    </row>
    <row r="294" spans="4:7" x14ac:dyDescent="0.25">
      <c r="D294" s="153" t="s">
        <v>690</v>
      </c>
      <c r="E294" s="153" t="str">
        <f t="shared" si="8"/>
        <v>Someone has a seizure</v>
      </c>
      <c r="F294" s="161" t="s">
        <v>1148</v>
      </c>
    </row>
    <row r="295" spans="4:7" x14ac:dyDescent="0.25">
      <c r="D295" s="153" t="s">
        <v>691</v>
      </c>
      <c r="E295" s="153" t="str">
        <f t="shared" si="8"/>
        <v>Flesh eaten by ants</v>
      </c>
      <c r="F295" s="161" t="s">
        <v>957</v>
      </c>
    </row>
    <row r="296" spans="4:7" x14ac:dyDescent="0.25">
      <c r="D296" s="153" t="s">
        <v>692</v>
      </c>
      <c r="E296" s="153" t="str">
        <f t="shared" si="8"/>
        <v>Retreat</v>
      </c>
      <c r="F296" s="161" t="s">
        <v>1168</v>
      </c>
    </row>
    <row r="297" spans="4:7" x14ac:dyDescent="0.25">
      <c r="D297" s="153" t="s">
        <v>693</v>
      </c>
      <c r="E297" s="153" t="str">
        <f t="shared" si="8"/>
        <v>Embezzlement</v>
      </c>
      <c r="F297" s="161" t="s">
        <v>899</v>
      </c>
    </row>
    <row r="298" spans="4:7" x14ac:dyDescent="0.25">
      <c r="D298" s="153" t="s">
        <v>694</v>
      </c>
      <c r="E298" s="153" t="str">
        <f t="shared" si="8"/>
        <v>Payment due</v>
      </c>
      <c r="F298" s="161" t="s">
        <v>938</v>
      </c>
    </row>
    <row r="299" spans="4:7" x14ac:dyDescent="0.25">
      <c r="D299" s="153" t="s">
        <v>695</v>
      </c>
      <c r="E299" s="153" t="str">
        <f t="shared" si="8"/>
        <v>Sunset</v>
      </c>
      <c r="F299" s="161" t="s">
        <v>1097</v>
      </c>
    </row>
    <row r="300" spans="4:7" x14ac:dyDescent="0.25">
      <c r="D300" s="153" t="s">
        <v>696</v>
      </c>
      <c r="E300" s="153" t="str">
        <f t="shared" si="8"/>
        <v>Death of a pet</v>
      </c>
      <c r="F300" s="161" t="s">
        <v>1044</v>
      </c>
    </row>
    <row r="301" spans="4:7" x14ac:dyDescent="0.25">
      <c r="D301" s="153" t="s">
        <v>697</v>
      </c>
      <c r="E301" s="153" t="str">
        <f t="shared" si="8"/>
        <v>Rebellion</v>
      </c>
      <c r="F301" s="161" t="s">
        <v>1036</v>
      </c>
    </row>
    <row r="302" spans="4:7" x14ac:dyDescent="0.25">
      <c r="D302" s="153" t="s">
        <v>698</v>
      </c>
      <c r="E302" s="153" t="str">
        <f t="shared" si="8"/>
        <v>Death of a wild animal</v>
      </c>
      <c r="F302" s="161" t="s">
        <v>1074</v>
      </c>
    </row>
    <row r="303" spans="4:7" x14ac:dyDescent="0.25">
      <c r="D303" s="153" t="s">
        <v>699</v>
      </c>
      <c r="E303" s="153" t="str">
        <f t="shared" si="8"/>
        <v>Garbling</v>
      </c>
      <c r="F303" s="161" t="s">
        <v>1091</v>
      </c>
    </row>
    <row r="304" spans="4:7" x14ac:dyDescent="0.25">
      <c r="D304" s="153" t="s">
        <v>700</v>
      </c>
      <c r="E304" s="153" t="str">
        <f t="shared" si="8"/>
        <v>Measurement of quality</v>
      </c>
      <c r="F304" s="161" t="s">
        <v>1158</v>
      </c>
    </row>
    <row r="305" spans="4:7" x14ac:dyDescent="0.25">
      <c r="D305" s="153" t="s">
        <v>701</v>
      </c>
      <c r="E305" s="153" t="str">
        <f t="shared" si="8"/>
        <v>Impersonating a law officer</v>
      </c>
      <c r="F305" s="161" t="s">
        <v>1132</v>
      </c>
    </row>
    <row r="306" spans="4:7" ht="45" x14ac:dyDescent="0.25">
      <c r="D306" s="153" t="s">
        <v>702</v>
      </c>
      <c r="E306" s="153" t="str">
        <f t="shared" si="8"/>
        <v>Rumor discovered to be true</v>
      </c>
      <c r="F306" s="161" t="s">
        <v>871</v>
      </c>
      <c r="G306" s="161" t="str">
        <f ca="1">CONCATENATE("An influx of mercenaries and hired guards arrives in the capital city. Increase Stability by ",RANDBETWEEN(1,6)," until the next Event phase.")</f>
        <v>An influx of mercenaries and hired guards arrives in the capital city. Increase Stability by 1 until the next Event phase.</v>
      </c>
    </row>
    <row r="307" spans="4:7" x14ac:dyDescent="0.25">
      <c r="D307" s="153" t="s">
        <v>703</v>
      </c>
      <c r="E307" s="153" t="str">
        <f t="shared" si="8"/>
        <v>Obstruction of justice</v>
      </c>
      <c r="F307" s="161" t="s">
        <v>1084</v>
      </c>
    </row>
    <row r="308" spans="4:7" x14ac:dyDescent="0.25">
      <c r="D308" s="153" t="s">
        <v>704</v>
      </c>
      <c r="E308" s="153" t="str">
        <f t="shared" si="8"/>
        <v>Death of a relative</v>
      </c>
      <c r="F308" s="161" t="s">
        <v>1042</v>
      </c>
    </row>
    <row r="309" spans="4:7" x14ac:dyDescent="0.25">
      <c r="D309" s="153" t="s">
        <v>705</v>
      </c>
      <c r="E309" s="153" t="str">
        <f t="shared" si="8"/>
        <v>Fleeing from abusive relationship</v>
      </c>
      <c r="F309" s="161" t="s">
        <v>918</v>
      </c>
    </row>
    <row r="310" spans="4:7" x14ac:dyDescent="0.25">
      <c r="D310" s="153" t="s">
        <v>706</v>
      </c>
      <c r="E310" s="153" t="str">
        <f t="shared" si="8"/>
        <v>Debt comes due</v>
      </c>
      <c r="F310" s="161" t="s">
        <v>923</v>
      </c>
    </row>
    <row r="311" spans="4:7" x14ac:dyDescent="0.25">
      <c r="D311" s="153" t="s">
        <v>707</v>
      </c>
      <c r="E311" s="153" t="str">
        <f t="shared" si="8"/>
        <v>Genital crushing</v>
      </c>
      <c r="F311" s="161" t="s">
        <v>907</v>
      </c>
    </row>
    <row r="312" spans="4:7" x14ac:dyDescent="0.25">
      <c r="D312" s="153" t="s">
        <v>708</v>
      </c>
      <c r="E312" s="153" t="str">
        <f t="shared" si="8"/>
        <v>Complaint filed</v>
      </c>
      <c r="F312" s="161" t="s">
        <v>1010</v>
      </c>
    </row>
    <row r="313" spans="4:7" x14ac:dyDescent="0.25">
      <c r="D313" s="153" t="s">
        <v>709</v>
      </c>
      <c r="E313" s="153" t="str">
        <f t="shared" si="8"/>
        <v>'Relative' discovered not to be blood relative</v>
      </c>
      <c r="F313" s="161" t="s">
        <v>1069</v>
      </c>
    </row>
    <row r="314" spans="4:7" ht="45" x14ac:dyDescent="0.25">
      <c r="D314" s="153" t="s">
        <v>710</v>
      </c>
      <c r="E314" s="153" t="str">
        <f t="shared" si="8"/>
        <v>Lightning strike</v>
      </c>
      <c r="F314" s="161" t="s">
        <v>884</v>
      </c>
      <c r="G314" s="161" t="s">
        <v>1210</v>
      </c>
    </row>
    <row r="315" spans="4:7" x14ac:dyDescent="0.25">
      <c r="D315" s="153" t="s">
        <v>711</v>
      </c>
      <c r="E315" s="153" t="str">
        <f t="shared" si="8"/>
        <v>Conducting business without a license</v>
      </c>
      <c r="F315" s="161" t="s">
        <v>1104</v>
      </c>
    </row>
    <row r="316" spans="4:7" x14ac:dyDescent="0.25">
      <c r="D316" s="153" t="s">
        <v>712</v>
      </c>
      <c r="E316" s="153" t="str">
        <f t="shared" si="8"/>
        <v>Planting false evidence</v>
      </c>
      <c r="F316" s="161" t="s">
        <v>1066</v>
      </c>
    </row>
    <row r="317" spans="4:7" x14ac:dyDescent="0.25">
      <c r="D317" s="153" t="s">
        <v>713</v>
      </c>
      <c r="E317" s="153" t="str">
        <f t="shared" si="8"/>
        <v>Tower toppled</v>
      </c>
      <c r="F317" s="161" t="s">
        <v>1163</v>
      </c>
    </row>
    <row r="318" spans="4:7" x14ac:dyDescent="0.25">
      <c r="D318" s="153" t="s">
        <v>714</v>
      </c>
      <c r="E318" s="153" t="str">
        <f t="shared" si="8"/>
        <v>Bluff called</v>
      </c>
      <c r="F318" s="161" t="s">
        <v>939</v>
      </c>
    </row>
    <row r="319" spans="4:7" x14ac:dyDescent="0.25">
      <c r="D319" s="153" t="s">
        <v>715</v>
      </c>
      <c r="E319" s="153" t="str">
        <f t="shared" si="8"/>
        <v>Governing authority overthrown</v>
      </c>
      <c r="F319" s="161" t="s">
        <v>1000</v>
      </c>
    </row>
    <row r="320" spans="4:7" x14ac:dyDescent="0.25">
      <c r="D320" s="153" t="s">
        <v>716</v>
      </c>
      <c r="E320" s="153" t="str">
        <f t="shared" si="8"/>
        <v>Vandalism</v>
      </c>
      <c r="F320" s="161" t="s">
        <v>922</v>
      </c>
    </row>
    <row r="321" spans="4:7" x14ac:dyDescent="0.25">
      <c r="D321" s="153" t="s">
        <v>717</v>
      </c>
      <c r="E321" s="153" t="str">
        <f t="shared" si="8"/>
        <v>Manslaughter</v>
      </c>
      <c r="F321" s="161" t="s">
        <v>1078</v>
      </c>
    </row>
    <row r="322" spans="4:7" x14ac:dyDescent="0.25">
      <c r="D322" s="153" t="s">
        <v>718</v>
      </c>
      <c r="E322" s="153" t="str">
        <f t="shared" si="8"/>
        <v>Tortured</v>
      </c>
      <c r="F322" s="161" t="s">
        <v>988</v>
      </c>
    </row>
    <row r="323" spans="4:7" x14ac:dyDescent="0.25">
      <c r="D323" s="153" t="s">
        <v>719</v>
      </c>
      <c r="E323" s="153" t="str">
        <f t="shared" si="8"/>
        <v>Receiving stolen goods</v>
      </c>
      <c r="F323" s="161" t="s">
        <v>1140</v>
      </c>
    </row>
    <row r="324" spans="4:7" x14ac:dyDescent="0.25">
      <c r="D324" s="153" t="s">
        <v>720</v>
      </c>
      <c r="E324" s="153" t="str">
        <f t="shared" ref="E324:E348" si="9">RIGHT(D324,LEN(D324)-3)</f>
        <v>Bones shattered</v>
      </c>
      <c r="F324" s="161" t="s">
        <v>1117</v>
      </c>
    </row>
    <row r="325" spans="4:7" x14ac:dyDescent="0.25">
      <c r="D325" s="153" t="s">
        <v>721</v>
      </c>
      <c r="E325" s="153" t="str">
        <f t="shared" si="9"/>
        <v>Inheritance received</v>
      </c>
      <c r="F325" s="161" t="s">
        <v>1016</v>
      </c>
    </row>
    <row r="326" spans="4:7" x14ac:dyDescent="0.25">
      <c r="D326" s="153" t="s">
        <v>722</v>
      </c>
      <c r="E326" s="153" t="str">
        <f t="shared" si="9"/>
        <v>Person laughs at something not funny</v>
      </c>
      <c r="F326" s="161" t="s">
        <v>920</v>
      </c>
    </row>
    <row r="327" spans="4:7" x14ac:dyDescent="0.25">
      <c r="D327" s="153" t="s">
        <v>723</v>
      </c>
      <c r="E327" s="153" t="str">
        <f t="shared" si="9"/>
        <v>Political election</v>
      </c>
      <c r="F327" s="161" t="s">
        <v>875</v>
      </c>
    </row>
    <row r="328" spans="4:7" x14ac:dyDescent="0.25">
      <c r="D328" s="153" t="s">
        <v>724</v>
      </c>
      <c r="E328" s="153" t="str">
        <f t="shared" si="9"/>
        <v>Gain an advantage</v>
      </c>
      <c r="F328" s="161" t="s">
        <v>960</v>
      </c>
    </row>
    <row r="329" spans="4:7" x14ac:dyDescent="0.25">
      <c r="D329" s="153" t="s">
        <v>725</v>
      </c>
      <c r="E329" s="153" t="str">
        <f t="shared" si="9"/>
        <v>Wedding anniversary</v>
      </c>
      <c r="F329" s="161" t="s">
        <v>1166</v>
      </c>
    </row>
    <row r="330" spans="4:7" x14ac:dyDescent="0.25">
      <c r="D330" s="153" t="s">
        <v>726</v>
      </c>
      <c r="E330" s="153" t="str">
        <f t="shared" si="9"/>
        <v>Shooting star</v>
      </c>
      <c r="F330" s="161" t="s">
        <v>880</v>
      </c>
    </row>
    <row r="331" spans="4:7" x14ac:dyDescent="0.25">
      <c r="D331" s="153" t="s">
        <v>727</v>
      </c>
      <c r="E331" s="153" t="str">
        <f t="shared" si="9"/>
        <v>Race won</v>
      </c>
      <c r="F331" s="161" t="s">
        <v>1038</v>
      </c>
    </row>
    <row r="332" spans="4:7" x14ac:dyDescent="0.25">
      <c r="D332" s="153" t="s">
        <v>728</v>
      </c>
      <c r="E332" s="153" t="str">
        <f t="shared" si="9"/>
        <v>Contract signed</v>
      </c>
      <c r="F332" s="161" t="s">
        <v>926</v>
      </c>
    </row>
    <row r="333" spans="4:7" x14ac:dyDescent="0.25">
      <c r="D333" s="153" t="s">
        <v>729</v>
      </c>
      <c r="E333" s="153" t="str">
        <f t="shared" si="9"/>
        <v>Valuable item misplaced</v>
      </c>
      <c r="F333" s="161" t="s">
        <v>1006</v>
      </c>
    </row>
    <row r="334" spans="4:7" x14ac:dyDescent="0.25">
      <c r="D334" s="153" t="s">
        <v>730</v>
      </c>
      <c r="E334" s="153" t="str">
        <f t="shared" si="9"/>
        <v>Attraction</v>
      </c>
      <c r="F334" s="161" t="s">
        <v>882</v>
      </c>
    </row>
    <row r="335" spans="4:7" ht="75" x14ac:dyDescent="0.25">
      <c r="D335" s="153" t="s">
        <v>731</v>
      </c>
      <c r="E335" s="153" t="str">
        <f t="shared" si="9"/>
        <v>Desertion</v>
      </c>
      <c r="F335" s="161" t="s">
        <v>1065</v>
      </c>
      <c r="G335" s="161" t="s">
        <v>1209</v>
      </c>
    </row>
    <row r="336" spans="4:7" ht="45" x14ac:dyDescent="0.25">
      <c r="D336" s="153" t="s">
        <v>732</v>
      </c>
      <c r="E336" s="153" t="str">
        <f t="shared" si="9"/>
        <v>Interrogation</v>
      </c>
      <c r="F336" s="161" t="s">
        <v>967</v>
      </c>
      <c r="G336" s="161" t="s">
        <v>1208</v>
      </c>
    </row>
    <row r="337" spans="4:7" x14ac:dyDescent="0.25">
      <c r="D337" s="153" t="s">
        <v>733</v>
      </c>
      <c r="E337" s="153" t="str">
        <f t="shared" si="9"/>
        <v>Famous person arrives</v>
      </c>
      <c r="F337" s="161" t="s">
        <v>1032</v>
      </c>
    </row>
    <row r="338" spans="4:7" x14ac:dyDescent="0.25">
      <c r="D338" s="153" t="s">
        <v>734</v>
      </c>
      <c r="E338" s="153" t="str">
        <f t="shared" si="9"/>
        <v>Bountiful harvest</v>
      </c>
      <c r="F338" s="161" t="s">
        <v>969</v>
      </c>
    </row>
    <row r="339" spans="4:7" x14ac:dyDescent="0.25">
      <c r="D339" s="153" t="s">
        <v>735</v>
      </c>
      <c r="E339" s="153" t="str">
        <f t="shared" si="9"/>
        <v>Heart attack</v>
      </c>
      <c r="F339" s="161" t="s">
        <v>1026</v>
      </c>
    </row>
    <row r="340" spans="4:7" x14ac:dyDescent="0.25">
      <c r="D340" s="153" t="s">
        <v>736</v>
      </c>
      <c r="E340" s="153" t="str">
        <f t="shared" si="9"/>
        <v>Grief</v>
      </c>
      <c r="F340" s="161" t="s">
        <v>948</v>
      </c>
    </row>
    <row r="341" spans="4:7" x14ac:dyDescent="0.25">
      <c r="D341" s="153" t="s">
        <v>737</v>
      </c>
      <c r="E341" s="153" t="str">
        <f t="shared" si="9"/>
        <v>Return of a missing pet</v>
      </c>
      <c r="F341" s="161" t="s">
        <v>864</v>
      </c>
    </row>
    <row r="342" spans="4:7" x14ac:dyDescent="0.25">
      <c r="D342" s="153" t="s">
        <v>738</v>
      </c>
      <c r="E342" s="153" t="str">
        <f t="shared" si="9"/>
        <v>Exorcism</v>
      </c>
      <c r="F342" s="161" t="s">
        <v>879</v>
      </c>
      <c r="G342" s="161" t="s">
        <v>1174</v>
      </c>
    </row>
    <row r="343" spans="4:7" x14ac:dyDescent="0.25">
      <c r="D343" s="153" t="s">
        <v>739</v>
      </c>
      <c r="E343" s="153" t="str">
        <f t="shared" si="9"/>
        <v>Drugging</v>
      </c>
      <c r="F343" s="161" t="s">
        <v>853</v>
      </c>
      <c r="G343" s="161" t="s">
        <v>1174</v>
      </c>
    </row>
    <row r="344" spans="4:7" x14ac:dyDescent="0.25">
      <c r="D344" s="153" t="s">
        <v>740</v>
      </c>
      <c r="E344" s="153" t="str">
        <f t="shared" si="9"/>
        <v>Swindling</v>
      </c>
      <c r="F344" s="161" t="s">
        <v>1170</v>
      </c>
    </row>
    <row r="345" spans="4:7" x14ac:dyDescent="0.25">
      <c r="D345" s="153" t="s">
        <v>741</v>
      </c>
      <c r="E345" s="153" t="str">
        <f t="shared" si="9"/>
        <v>Cowardice in the face of the enemy</v>
      </c>
      <c r="F345" s="161" t="s">
        <v>854</v>
      </c>
    </row>
    <row r="346" spans="4:7" x14ac:dyDescent="0.25">
      <c r="D346" s="153" t="s">
        <v>742</v>
      </c>
      <c r="E346" s="153" t="str">
        <f t="shared" si="9"/>
        <v>Balance lost</v>
      </c>
      <c r="F346" s="161" t="s">
        <v>1061</v>
      </c>
    </row>
    <row r="347" spans="4:7" x14ac:dyDescent="0.25">
      <c r="D347" s="153" t="s">
        <v>743</v>
      </c>
      <c r="E347" s="153" t="str">
        <f t="shared" si="9"/>
        <v>Artistic masterpiece destroyed</v>
      </c>
      <c r="F347" s="161" t="s">
        <v>1067</v>
      </c>
    </row>
    <row r="348" spans="4:7" x14ac:dyDescent="0.25">
      <c r="D348" s="153" t="s">
        <v>744</v>
      </c>
      <c r="E348" s="153" t="str">
        <f t="shared" si="9"/>
        <v>Alimony not received</v>
      </c>
      <c r="F348" s="161" t="s">
        <v>930</v>
      </c>
    </row>
    <row r="349" spans="4:7" x14ac:dyDescent="0.25">
      <c r="D349" s="153" t="s">
        <v>745</v>
      </c>
      <c r="E349" s="153" t="str">
        <f>RIGHT(D349,LEN(D349)-4)</f>
        <v>Caravan departs</v>
      </c>
      <c r="F349" s="161" t="s">
        <v>1143</v>
      </c>
    </row>
    <row r="350" spans="4:7" x14ac:dyDescent="0.25">
      <c r="D350" s="153" t="s">
        <v>746</v>
      </c>
      <c r="E350" s="153" t="str">
        <f>RIGHT(D350,LEN(D350)-2)</f>
        <v>Contest</v>
      </c>
      <c r="F350" s="161" t="s">
        <v>994</v>
      </c>
      <c r="G350" s="161" t="s">
        <v>1174</v>
      </c>
    </row>
    <row r="351" spans="4:7" x14ac:dyDescent="0.25">
      <c r="D351" s="153" t="s">
        <v>747</v>
      </c>
      <c r="E351" s="153" t="str">
        <f t="shared" ref="E351:E358" si="10">RIGHT(D351,LEN(D351)-2)</f>
        <v>Coercion</v>
      </c>
      <c r="F351" s="161" t="s">
        <v>954</v>
      </c>
    </row>
    <row r="352" spans="4:7" x14ac:dyDescent="0.25">
      <c r="D352" s="153" t="s">
        <v>748</v>
      </c>
      <c r="E352" s="153" t="str">
        <f t="shared" si="10"/>
        <v>Bitterness</v>
      </c>
      <c r="F352" s="161" t="s">
        <v>1167</v>
      </c>
      <c r="G352" s="161" t="s">
        <v>1174</v>
      </c>
    </row>
    <row r="353" spans="4:7" x14ac:dyDescent="0.25">
      <c r="D353" s="153" t="s">
        <v>749</v>
      </c>
      <c r="E353" s="153" t="str">
        <f t="shared" si="10"/>
        <v>Drunkenness</v>
      </c>
      <c r="F353" s="161" t="s">
        <v>889</v>
      </c>
    </row>
    <row r="354" spans="4:7" x14ac:dyDescent="0.25">
      <c r="D354" s="153" t="s">
        <v>750</v>
      </c>
      <c r="E354" s="153" t="str">
        <f t="shared" si="10"/>
        <v>Phony charity seeks donation</v>
      </c>
      <c r="F354" s="161" t="s">
        <v>1004</v>
      </c>
    </row>
    <row r="355" spans="4:7" x14ac:dyDescent="0.25">
      <c r="D355" s="153" t="s">
        <v>751</v>
      </c>
      <c r="E355" s="153" t="str">
        <f t="shared" si="10"/>
        <v>Wreck found</v>
      </c>
      <c r="F355" s="161" t="s">
        <v>863</v>
      </c>
    </row>
    <row r="356" spans="4:7" x14ac:dyDescent="0.25">
      <c r="D356" s="153" t="s">
        <v>752</v>
      </c>
      <c r="E356" s="153" t="str">
        <f t="shared" si="10"/>
        <v>Breaking and Entering</v>
      </c>
      <c r="F356" s="161" t="s">
        <v>1131</v>
      </c>
    </row>
    <row r="357" spans="4:7" x14ac:dyDescent="0.25">
      <c r="D357" s="153" t="s">
        <v>753</v>
      </c>
      <c r="E357" s="153" t="str">
        <f t="shared" si="10"/>
        <v>Scalped</v>
      </c>
      <c r="F357" s="161" t="s">
        <v>943</v>
      </c>
    </row>
    <row r="358" spans="4:7" x14ac:dyDescent="0.25">
      <c r="D358" s="153" t="s">
        <v>754</v>
      </c>
      <c r="E358" s="153" t="str">
        <f t="shared" si="10"/>
        <v>Miscarriage of justice</v>
      </c>
      <c r="F358" s="161" t="s">
        <v>888</v>
      </c>
    </row>
    <row r="359" spans="4:7" x14ac:dyDescent="0.25">
      <c r="D359" s="153" t="s">
        <v>755</v>
      </c>
      <c r="E359" s="153" t="str">
        <f>RIGHT(D359,LEN(D359)-3)</f>
        <v>Adultery</v>
      </c>
      <c r="F359" s="161" t="s">
        <v>1072</v>
      </c>
    </row>
    <row r="360" spans="4:7" x14ac:dyDescent="0.25">
      <c r="D360" s="153" t="s">
        <v>756</v>
      </c>
      <c r="E360" s="153" t="str">
        <f t="shared" ref="E360:E423" si="11">RIGHT(D360,LEN(D360)-3)</f>
        <v>Hostage taken</v>
      </c>
      <c r="F360" s="161" t="s">
        <v>1106</v>
      </c>
    </row>
    <row r="361" spans="4:7" x14ac:dyDescent="0.25">
      <c r="D361" s="153" t="s">
        <v>757</v>
      </c>
      <c r="E361" s="153" t="str">
        <f t="shared" si="11"/>
        <v>Duel</v>
      </c>
      <c r="F361" s="161" t="s">
        <v>1011</v>
      </c>
    </row>
    <row r="362" spans="4:7" x14ac:dyDescent="0.25">
      <c r="D362" s="153" t="s">
        <v>758</v>
      </c>
      <c r="E362" s="153" t="str">
        <f t="shared" si="11"/>
        <v>Disturbing the peace</v>
      </c>
      <c r="F362" s="161" t="s">
        <v>1129</v>
      </c>
    </row>
    <row r="363" spans="4:7" x14ac:dyDescent="0.25">
      <c r="D363" s="153" t="s">
        <v>759</v>
      </c>
      <c r="E363" s="153" t="str">
        <f t="shared" si="11"/>
        <v>Hiding</v>
      </c>
      <c r="F363" s="161" t="s">
        <v>995</v>
      </c>
    </row>
    <row r="364" spans="4:7" ht="60" x14ac:dyDescent="0.25">
      <c r="D364" s="153" t="s">
        <v>760</v>
      </c>
      <c r="E364" s="153" t="str">
        <f t="shared" si="11"/>
        <v>Stray animal attacks</v>
      </c>
      <c r="F364" s="161" t="s">
        <v>1150</v>
      </c>
      <c r="G364" s="161" t="s">
        <v>1205</v>
      </c>
    </row>
    <row r="365" spans="4:7" x14ac:dyDescent="0.25">
      <c r="D365" s="153" t="s">
        <v>761</v>
      </c>
      <c r="E365" s="153" t="str">
        <f t="shared" si="11"/>
        <v>Truth is told</v>
      </c>
      <c r="F365" s="161" t="s">
        <v>986</v>
      </c>
    </row>
    <row r="366" spans="4:7" x14ac:dyDescent="0.25">
      <c r="D366" s="153" t="s">
        <v>762</v>
      </c>
      <c r="E366" s="153" t="str">
        <f t="shared" si="11"/>
        <v>New technique discovered</v>
      </c>
      <c r="F366" s="161" t="s">
        <v>915</v>
      </c>
    </row>
    <row r="367" spans="4:7" x14ac:dyDescent="0.25">
      <c r="D367" s="153" t="s">
        <v>763</v>
      </c>
      <c r="E367" s="153" t="str">
        <f t="shared" si="11"/>
        <v>Hostage killed</v>
      </c>
      <c r="F367" s="161" t="s">
        <v>1090</v>
      </c>
    </row>
    <row r="368" spans="4:7" x14ac:dyDescent="0.25">
      <c r="D368" s="153" t="s">
        <v>764</v>
      </c>
      <c r="E368" s="153" t="str">
        <f t="shared" si="11"/>
        <v>Old acquaintance departs</v>
      </c>
      <c r="F368" s="161" t="s">
        <v>1059</v>
      </c>
    </row>
    <row r="369" spans="4:7" x14ac:dyDescent="0.25">
      <c r="D369" s="153" t="s">
        <v>765</v>
      </c>
      <c r="E369" s="153" t="str">
        <f t="shared" si="11"/>
        <v>Deafness</v>
      </c>
      <c r="F369" s="161" t="s">
        <v>1136</v>
      </c>
    </row>
    <row r="370" spans="4:7" x14ac:dyDescent="0.25">
      <c r="D370" s="153" t="s">
        <v>766</v>
      </c>
      <c r="E370" s="153" t="str">
        <f t="shared" si="11"/>
        <v>Equality</v>
      </c>
      <c r="F370" s="161" t="s">
        <v>1087</v>
      </c>
    </row>
    <row r="371" spans="4:7" x14ac:dyDescent="0.25">
      <c r="D371" s="153" t="s">
        <v>767</v>
      </c>
      <c r="E371" s="153" t="str">
        <f t="shared" si="11"/>
        <v>Boiled in oil</v>
      </c>
      <c r="F371" s="161" t="s">
        <v>991</v>
      </c>
    </row>
    <row r="372" spans="4:7" x14ac:dyDescent="0.25">
      <c r="D372" s="153" t="s">
        <v>768</v>
      </c>
      <c r="E372" s="153" t="str">
        <f t="shared" si="11"/>
        <v>Blizzard</v>
      </c>
      <c r="F372" s="161" t="s">
        <v>917</v>
      </c>
    </row>
    <row r="373" spans="4:7" x14ac:dyDescent="0.25">
      <c r="D373" s="153" t="s">
        <v>769</v>
      </c>
      <c r="E373" s="153" t="str">
        <f t="shared" si="11"/>
        <v>Imprisonment</v>
      </c>
      <c r="F373" s="161" t="s">
        <v>1040</v>
      </c>
    </row>
    <row r="374" spans="4:7" x14ac:dyDescent="0.25">
      <c r="D374" s="153" t="s">
        <v>770</v>
      </c>
      <c r="E374" s="153" t="str">
        <f t="shared" si="11"/>
        <v>Heresy</v>
      </c>
      <c r="F374" s="161" t="s">
        <v>1028</v>
      </c>
      <c r="G374" s="161" t="s">
        <v>1174</v>
      </c>
    </row>
    <row r="375" spans="4:7" x14ac:dyDescent="0.25">
      <c r="D375" s="153" t="s">
        <v>771</v>
      </c>
      <c r="E375" s="153" t="str">
        <f t="shared" si="11"/>
        <v>Trial</v>
      </c>
      <c r="F375" s="161" t="s">
        <v>1005</v>
      </c>
    </row>
    <row r="376" spans="4:7" x14ac:dyDescent="0.25">
      <c r="D376" s="153" t="s">
        <v>772</v>
      </c>
      <c r="E376" s="153" t="str">
        <f t="shared" si="11"/>
        <v>Tax rate changed</v>
      </c>
      <c r="F376" s="161" t="s">
        <v>910</v>
      </c>
    </row>
    <row r="377" spans="4:7" x14ac:dyDescent="0.25">
      <c r="D377" s="153" t="s">
        <v>773</v>
      </c>
      <c r="E377" s="153" t="str">
        <f t="shared" si="11"/>
        <v>New governing authority established</v>
      </c>
      <c r="F377" s="161" t="s">
        <v>1122</v>
      </c>
    </row>
    <row r="378" spans="4:7" x14ac:dyDescent="0.25">
      <c r="D378" s="153" t="s">
        <v>774</v>
      </c>
      <c r="E378" s="153" t="str">
        <f t="shared" si="11"/>
        <v>Peeping</v>
      </c>
      <c r="F378" s="161" t="s">
        <v>895</v>
      </c>
    </row>
    <row r="379" spans="4:7" x14ac:dyDescent="0.25">
      <c r="D379" s="153" t="s">
        <v>775</v>
      </c>
      <c r="E379" s="153" t="str">
        <f t="shared" si="11"/>
        <v>Strong wind blows</v>
      </c>
      <c r="F379" s="161" t="s">
        <v>964</v>
      </c>
    </row>
    <row r="380" spans="4:7" ht="60" x14ac:dyDescent="0.25">
      <c r="D380" s="153" t="s">
        <v>776</v>
      </c>
      <c r="E380" s="153" t="str">
        <f t="shared" si="11"/>
        <v>Redemption</v>
      </c>
      <c r="F380" s="161" t="s">
        <v>1050</v>
      </c>
      <c r="G380" s="161" t="s">
        <v>1204</v>
      </c>
    </row>
    <row r="381" spans="4:7" x14ac:dyDescent="0.25">
      <c r="D381" s="153" t="s">
        <v>477</v>
      </c>
      <c r="E381" s="153" t="str">
        <f t="shared" si="11"/>
        <v>Expansion</v>
      </c>
      <c r="F381" s="161" t="s">
        <v>1137</v>
      </c>
    </row>
    <row r="382" spans="4:7" ht="45" x14ac:dyDescent="0.25">
      <c r="D382" s="153" t="s">
        <v>777</v>
      </c>
      <c r="E382" s="153" t="str">
        <f t="shared" si="11"/>
        <v>Flood</v>
      </c>
      <c r="F382" s="161" t="s">
        <v>903</v>
      </c>
      <c r="G382" s="161" t="s">
        <v>1203</v>
      </c>
    </row>
    <row r="383" spans="4:7" x14ac:dyDescent="0.25">
      <c r="D383" s="153" t="s">
        <v>778</v>
      </c>
      <c r="E383" s="153" t="str">
        <f t="shared" si="11"/>
        <v>Death of an acquaintance</v>
      </c>
      <c r="F383" s="161" t="s">
        <v>1051</v>
      </c>
    </row>
    <row r="384" spans="4:7" x14ac:dyDescent="0.25">
      <c r="D384" s="153" t="s">
        <v>779</v>
      </c>
      <c r="E384" s="153" t="str">
        <f t="shared" si="11"/>
        <v>Treaty made</v>
      </c>
      <c r="F384" s="161" t="s">
        <v>1153</v>
      </c>
    </row>
    <row r="385" spans="4:7" x14ac:dyDescent="0.25">
      <c r="D385" s="153" t="s">
        <v>780</v>
      </c>
      <c r="E385" s="153" t="str">
        <f t="shared" si="11"/>
        <v>Famous person departs</v>
      </c>
      <c r="F385" s="161" t="s">
        <v>1096</v>
      </c>
    </row>
    <row r="386" spans="4:7" x14ac:dyDescent="0.25">
      <c r="D386" s="153" t="s">
        <v>781</v>
      </c>
      <c r="E386" s="153" t="str">
        <f t="shared" si="11"/>
        <v>Tournament</v>
      </c>
      <c r="F386" s="161" t="s">
        <v>1037</v>
      </c>
    </row>
    <row r="387" spans="4:7" x14ac:dyDescent="0.25">
      <c r="D387" s="153" t="s">
        <v>782</v>
      </c>
      <c r="E387" s="153" t="str">
        <f t="shared" si="11"/>
        <v>Abortion</v>
      </c>
      <c r="F387" s="161" t="s">
        <v>1115</v>
      </c>
    </row>
    <row r="388" spans="4:7" ht="60" x14ac:dyDescent="0.25">
      <c r="D388" s="153" t="s">
        <v>783</v>
      </c>
      <c r="E388" s="153" t="str">
        <f t="shared" si="11"/>
        <v>Assassination attempt fails</v>
      </c>
      <c r="F388" s="161" t="s">
        <v>1206</v>
      </c>
      <c r="G388" s="161" t="s">
        <v>1207</v>
      </c>
    </row>
    <row r="389" spans="4:7" x14ac:dyDescent="0.25">
      <c r="D389" s="153" t="s">
        <v>784</v>
      </c>
      <c r="E389" s="153" t="str">
        <f t="shared" si="11"/>
        <v>Valuables found but owner unknown</v>
      </c>
    </row>
    <row r="390" spans="4:7" x14ac:dyDescent="0.25">
      <c r="D390" s="153" t="s">
        <v>785</v>
      </c>
      <c r="E390" s="153" t="str">
        <f t="shared" si="11"/>
        <v>Reparations</v>
      </c>
    </row>
    <row r="391" spans="4:7" x14ac:dyDescent="0.25">
      <c r="D391" s="153" t="s">
        <v>786</v>
      </c>
      <c r="E391" s="153" t="str">
        <f t="shared" si="11"/>
        <v>Measurement of item</v>
      </c>
    </row>
    <row r="392" spans="4:7" x14ac:dyDescent="0.25">
      <c r="D392" s="153" t="s">
        <v>787</v>
      </c>
      <c r="E392" s="153" t="str">
        <f t="shared" si="11"/>
        <v>Rumor discovered to be false</v>
      </c>
    </row>
    <row r="393" spans="4:7" x14ac:dyDescent="0.25">
      <c r="D393" s="153" t="s">
        <v>788</v>
      </c>
      <c r="E393" s="153" t="str">
        <f t="shared" si="11"/>
        <v>Inciting to riot</v>
      </c>
    </row>
    <row r="394" spans="4:7" x14ac:dyDescent="0.25">
      <c r="D394" s="153" t="s">
        <v>789</v>
      </c>
      <c r="E394" s="153" t="str">
        <f t="shared" si="11"/>
        <v>Measurement of substance</v>
      </c>
    </row>
    <row r="395" spans="4:7" x14ac:dyDescent="0.25">
      <c r="D395" s="153" t="s">
        <v>790</v>
      </c>
      <c r="E395" s="153" t="str">
        <f t="shared" si="11"/>
        <v>New nation formed</v>
      </c>
    </row>
    <row r="396" spans="4:7" x14ac:dyDescent="0.25">
      <c r="D396" s="153" t="s">
        <v>791</v>
      </c>
      <c r="E396" s="153" t="str">
        <f t="shared" si="11"/>
        <v>Salting a wound</v>
      </c>
    </row>
    <row r="397" spans="4:7" x14ac:dyDescent="0.25">
      <c r="D397" s="153" t="s">
        <v>792</v>
      </c>
      <c r="E397" s="153" t="str">
        <f t="shared" si="11"/>
        <v>Bones crushed</v>
      </c>
    </row>
    <row r="398" spans="4:7" x14ac:dyDescent="0.25">
      <c r="D398" s="153" t="s">
        <v>793</v>
      </c>
      <c r="E398" s="153" t="str">
        <f t="shared" si="11"/>
        <v>Curse lifted</v>
      </c>
    </row>
    <row r="399" spans="4:7" x14ac:dyDescent="0.25">
      <c r="D399" s="153" t="s">
        <v>794</v>
      </c>
      <c r="E399" s="153" t="str">
        <f t="shared" si="11"/>
        <v>Splinter in finger</v>
      </c>
    </row>
    <row r="400" spans="4:7" x14ac:dyDescent="0.25">
      <c r="D400" s="153" t="s">
        <v>795</v>
      </c>
      <c r="E400" s="153" t="str">
        <f t="shared" si="11"/>
        <v>Identical twins encountered</v>
      </c>
    </row>
    <row r="401" spans="4:5" x14ac:dyDescent="0.25">
      <c r="D401" s="153" t="s">
        <v>796</v>
      </c>
      <c r="E401" s="153" t="str">
        <f t="shared" si="11"/>
        <v>Perjury</v>
      </c>
    </row>
    <row r="402" spans="4:5" x14ac:dyDescent="0.25">
      <c r="D402" s="153" t="s">
        <v>797</v>
      </c>
      <c r="E402" s="153" t="str">
        <f t="shared" si="11"/>
        <v>Child abuse</v>
      </c>
    </row>
    <row r="403" spans="4:5" x14ac:dyDescent="0.25">
      <c r="D403" s="153" t="s">
        <v>798</v>
      </c>
      <c r="E403" s="153" t="str">
        <f t="shared" si="11"/>
        <v>Burned alive</v>
      </c>
    </row>
    <row r="404" spans="4:5" x14ac:dyDescent="0.25">
      <c r="D404" s="153" t="s">
        <v>799</v>
      </c>
      <c r="E404" s="153" t="str">
        <f t="shared" si="11"/>
        <v>Bones broken</v>
      </c>
    </row>
    <row r="405" spans="4:5" x14ac:dyDescent="0.25">
      <c r="D405" s="153" t="s">
        <v>800</v>
      </c>
      <c r="E405" s="153" t="str">
        <f t="shared" si="11"/>
        <v>Protection granted</v>
      </c>
    </row>
    <row r="406" spans="4:5" x14ac:dyDescent="0.25">
      <c r="D406" s="153" t="s">
        <v>801</v>
      </c>
      <c r="E406" s="153" t="str">
        <f t="shared" si="11"/>
        <v>Archeological discovery</v>
      </c>
    </row>
    <row r="407" spans="4:5" x14ac:dyDescent="0.25">
      <c r="D407" s="153" t="s">
        <v>802</v>
      </c>
      <c r="E407" s="153" t="str">
        <f t="shared" si="11"/>
        <v>Amputation</v>
      </c>
    </row>
    <row r="408" spans="4:5" x14ac:dyDescent="0.25">
      <c r="D408" s="153" t="s">
        <v>803</v>
      </c>
      <c r="E408" s="153" t="str">
        <f t="shared" si="11"/>
        <v>Terrorist activity</v>
      </c>
    </row>
    <row r="409" spans="4:5" x14ac:dyDescent="0.25">
      <c r="D409" s="153" t="s">
        <v>804</v>
      </c>
      <c r="E409" s="153" t="str">
        <f t="shared" si="11"/>
        <v>Genocide</v>
      </c>
    </row>
    <row r="410" spans="4:5" x14ac:dyDescent="0.25">
      <c r="D410" s="153" t="s">
        <v>805</v>
      </c>
      <c r="E410" s="153" t="str">
        <f t="shared" si="11"/>
        <v>Search for a fugitive</v>
      </c>
    </row>
    <row r="411" spans="4:5" x14ac:dyDescent="0.25">
      <c r="D411" s="153" t="s">
        <v>806</v>
      </c>
      <c r="E411" s="153" t="str">
        <f t="shared" si="11"/>
        <v>Neutrality</v>
      </c>
    </row>
    <row r="412" spans="4:5" x14ac:dyDescent="0.25">
      <c r="D412" s="153" t="s">
        <v>807</v>
      </c>
      <c r="E412" s="153" t="str">
        <f t="shared" si="11"/>
        <v>Volcanic Eruption</v>
      </c>
    </row>
    <row r="413" spans="4:5" x14ac:dyDescent="0.25">
      <c r="D413" s="153" t="s">
        <v>808</v>
      </c>
      <c r="E413" s="153" t="str">
        <f t="shared" si="11"/>
        <v>New planet discovered</v>
      </c>
    </row>
    <row r="414" spans="4:5" x14ac:dyDescent="0.25">
      <c r="D414" s="153" t="s">
        <v>809</v>
      </c>
      <c r="E414" s="153" t="str">
        <f t="shared" si="11"/>
        <v>Pretending to change sides</v>
      </c>
    </row>
    <row r="415" spans="4:5" x14ac:dyDescent="0.25">
      <c r="D415" s="153" t="s">
        <v>810</v>
      </c>
      <c r="E415" s="153" t="str">
        <f t="shared" si="11"/>
        <v>Beating</v>
      </c>
    </row>
    <row r="416" spans="4:5" x14ac:dyDescent="0.25">
      <c r="D416" s="153" t="s">
        <v>811</v>
      </c>
      <c r="E416" s="153" t="str">
        <f t="shared" si="11"/>
        <v>'Miracle' drug/herb for sale</v>
      </c>
    </row>
    <row r="417" spans="4:5" x14ac:dyDescent="0.25">
      <c r="D417" s="153" t="s">
        <v>812</v>
      </c>
      <c r="E417" s="153" t="str">
        <f t="shared" si="11"/>
        <v>Disappearance of large item</v>
      </c>
    </row>
    <row r="418" spans="4:5" x14ac:dyDescent="0.25">
      <c r="D418" s="153" t="s">
        <v>813</v>
      </c>
      <c r="E418" s="153" t="str">
        <f t="shared" si="11"/>
        <v>Deviant sexual behavior</v>
      </c>
    </row>
    <row r="419" spans="4:5" x14ac:dyDescent="0.25">
      <c r="D419" s="153" t="s">
        <v>814</v>
      </c>
      <c r="E419" s="153" t="str">
        <f t="shared" si="11"/>
        <v>Recruitment for military</v>
      </c>
    </row>
    <row r="420" spans="4:5" x14ac:dyDescent="0.25">
      <c r="D420" s="153" t="s">
        <v>815</v>
      </c>
      <c r="E420" s="153" t="str">
        <f t="shared" si="11"/>
        <v>Fright</v>
      </c>
    </row>
    <row r="421" spans="4:5" x14ac:dyDescent="0.25">
      <c r="D421" s="153" t="s">
        <v>816</v>
      </c>
      <c r="E421" s="153" t="str">
        <f t="shared" si="11"/>
        <v>Marriage</v>
      </c>
    </row>
    <row r="422" spans="4:5" x14ac:dyDescent="0.25">
      <c r="D422" s="153" t="s">
        <v>817</v>
      </c>
      <c r="E422" s="153" t="str">
        <f t="shared" si="11"/>
        <v>Forced to watch someone else being killed</v>
      </c>
    </row>
    <row r="423" spans="4:5" x14ac:dyDescent="0.25">
      <c r="D423" s="153" t="s">
        <v>818</v>
      </c>
      <c r="E423" s="153" t="str">
        <f t="shared" si="11"/>
        <v>Leper encountered</v>
      </c>
    </row>
    <row r="424" spans="4:5" x14ac:dyDescent="0.25">
      <c r="D424" s="153" t="s">
        <v>819</v>
      </c>
      <c r="E424" s="153" t="str">
        <f t="shared" ref="E424:E448" si="12">RIGHT(D424,LEN(D424)-3)</f>
        <v>Exile</v>
      </c>
    </row>
    <row r="425" spans="4:5" x14ac:dyDescent="0.25">
      <c r="D425" s="153" t="s">
        <v>820</v>
      </c>
      <c r="E425" s="153" t="str">
        <f t="shared" si="12"/>
        <v>Extinction of a species</v>
      </c>
    </row>
    <row r="426" spans="4:5" x14ac:dyDescent="0.25">
      <c r="D426" s="153" t="s">
        <v>821</v>
      </c>
      <c r="E426" s="153" t="str">
        <f t="shared" si="12"/>
        <v>Lost temper</v>
      </c>
    </row>
    <row r="427" spans="4:5" x14ac:dyDescent="0.25">
      <c r="D427" s="153" t="s">
        <v>822</v>
      </c>
      <c r="E427" s="153" t="str">
        <f t="shared" si="12"/>
        <v>Blinded in one eye</v>
      </c>
    </row>
    <row r="428" spans="4:5" x14ac:dyDescent="0.25">
      <c r="D428" s="153" t="s">
        <v>823</v>
      </c>
      <c r="E428" s="153" t="str">
        <f t="shared" si="12"/>
        <v>Dragged</v>
      </c>
    </row>
    <row r="429" spans="4:5" x14ac:dyDescent="0.25">
      <c r="D429" s="153" t="s">
        <v>824</v>
      </c>
      <c r="E429" s="153" t="str">
        <f t="shared" si="12"/>
        <v>Screaming</v>
      </c>
    </row>
    <row r="430" spans="4:5" x14ac:dyDescent="0.25">
      <c r="D430" s="153" t="s">
        <v>825</v>
      </c>
      <c r="E430" s="153" t="str">
        <f t="shared" si="12"/>
        <v>Drowning</v>
      </c>
    </row>
    <row r="431" spans="4:5" x14ac:dyDescent="0.25">
      <c r="D431" s="153" t="s">
        <v>826</v>
      </c>
      <c r="E431" s="153" t="str">
        <f t="shared" si="12"/>
        <v>Favor given</v>
      </c>
    </row>
    <row r="432" spans="4:5" x14ac:dyDescent="0.25">
      <c r="D432" s="153" t="s">
        <v>827</v>
      </c>
      <c r="E432" s="153" t="str">
        <f t="shared" si="12"/>
        <v>Reversal of fortune</v>
      </c>
    </row>
    <row r="433" spans="4:5" x14ac:dyDescent="0.25">
      <c r="D433" s="153" t="s">
        <v>828</v>
      </c>
      <c r="E433" s="153" t="str">
        <f t="shared" si="12"/>
        <v>Burglary</v>
      </c>
    </row>
    <row r="434" spans="4:5" x14ac:dyDescent="0.25">
      <c r="D434" s="153" t="s">
        <v>829</v>
      </c>
      <c r="E434" s="153" t="str">
        <f t="shared" si="12"/>
        <v>Fleeing from enemy</v>
      </c>
    </row>
    <row r="435" spans="4:5" x14ac:dyDescent="0.25">
      <c r="D435" s="153" t="s">
        <v>830</v>
      </c>
      <c r="E435" s="153" t="str">
        <f t="shared" si="12"/>
        <v>Prostitution</v>
      </c>
    </row>
    <row r="436" spans="4:5" x14ac:dyDescent="0.25">
      <c r="D436" s="153" t="s">
        <v>831</v>
      </c>
      <c r="E436" s="153" t="str">
        <f t="shared" si="12"/>
        <v>Funeral</v>
      </c>
    </row>
    <row r="437" spans="4:5" x14ac:dyDescent="0.25">
      <c r="D437" s="153" t="s">
        <v>832</v>
      </c>
      <c r="E437" s="153" t="str">
        <f t="shared" si="12"/>
        <v>Sedition</v>
      </c>
    </row>
    <row r="438" spans="4:5" x14ac:dyDescent="0.25">
      <c r="D438" s="153" t="s">
        <v>833</v>
      </c>
      <c r="E438" s="153" t="str">
        <f t="shared" si="12"/>
        <v>Starvation</v>
      </c>
    </row>
    <row r="439" spans="4:5" x14ac:dyDescent="0.25">
      <c r="D439" s="153" t="s">
        <v>834</v>
      </c>
      <c r="E439" s="153" t="str">
        <f t="shared" si="12"/>
        <v>Eclipse of moon</v>
      </c>
    </row>
    <row r="440" spans="4:5" x14ac:dyDescent="0.25">
      <c r="D440" s="153" t="s">
        <v>835</v>
      </c>
      <c r="E440" s="153" t="str">
        <f t="shared" si="12"/>
        <v>Discovery of species thought to be extinct</v>
      </c>
    </row>
    <row r="441" spans="4:5" x14ac:dyDescent="0.25">
      <c r="D441" s="153" t="s">
        <v>836</v>
      </c>
      <c r="E441" s="153" t="str">
        <f t="shared" si="12"/>
        <v>Protest</v>
      </c>
    </row>
    <row r="442" spans="4:5" x14ac:dyDescent="0.25">
      <c r="D442" s="153" t="s">
        <v>837</v>
      </c>
      <c r="E442" s="153" t="str">
        <f t="shared" si="12"/>
        <v>Accident while traveling</v>
      </c>
    </row>
    <row r="443" spans="4:5" x14ac:dyDescent="0.25">
      <c r="D443" s="153" t="s">
        <v>838</v>
      </c>
      <c r="E443" s="153" t="str">
        <f t="shared" si="12"/>
        <v>Sneezing</v>
      </c>
    </row>
    <row r="444" spans="4:5" x14ac:dyDescent="0.25">
      <c r="D444" s="153" t="s">
        <v>839</v>
      </c>
      <c r="E444" s="153" t="str">
        <f t="shared" si="12"/>
        <v>Pet goes missing</v>
      </c>
    </row>
    <row r="445" spans="4:5" x14ac:dyDescent="0.25">
      <c r="D445" s="153" t="s">
        <v>840</v>
      </c>
      <c r="E445" s="153" t="str">
        <f t="shared" si="12"/>
        <v>Accidental dismemberment</v>
      </c>
    </row>
    <row r="446" spans="4:5" x14ac:dyDescent="0.25">
      <c r="D446" s="153" t="s">
        <v>841</v>
      </c>
      <c r="E446" s="153" t="str">
        <f t="shared" si="12"/>
        <v>Hospitality denied</v>
      </c>
    </row>
    <row r="447" spans="4:5" x14ac:dyDescent="0.25">
      <c r="D447" s="153" t="s">
        <v>842</v>
      </c>
      <c r="E447" s="153" t="str">
        <f t="shared" si="12"/>
        <v>Playing dead</v>
      </c>
    </row>
    <row r="448" spans="4:5" x14ac:dyDescent="0.25">
      <c r="D448" s="153" t="s">
        <v>843</v>
      </c>
      <c r="E448" s="153" t="str">
        <f t="shared" si="12"/>
        <v>Return of a missing person</v>
      </c>
    </row>
    <row r="449" spans="4:5" x14ac:dyDescent="0.25">
      <c r="D449" s="153" t="s">
        <v>844</v>
      </c>
      <c r="E449" s="153" t="str">
        <f>RIGHT(D449,LEN(D449)-4)</f>
        <v>Misery</v>
      </c>
    </row>
  </sheetData>
  <sortState ref="F50:G449">
    <sortCondition ref="G50:G449"/>
  </sortState>
  <pageMargins left="0.7" right="0.7" top="0.75" bottom="0.75" header="0.3" footer="0.3"/>
  <pageSetup paperSize="9" orientation="portrait" horizontalDpi="4294967294"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B51"/>
  <sheetViews>
    <sheetView topLeftCell="D1" workbookViewId="0">
      <selection activeCell="J4" sqref="J4"/>
    </sheetView>
  </sheetViews>
  <sheetFormatPr defaultRowHeight="15" x14ac:dyDescent="0.25"/>
  <cols>
    <col min="2" max="2" width="19.7109375" bestFit="1" customWidth="1"/>
    <col min="3" max="3" width="19.7109375" customWidth="1"/>
    <col min="4" max="4" width="11.7109375" bestFit="1" customWidth="1"/>
    <col min="5" max="5" width="9.7109375" bestFit="1" customWidth="1"/>
    <col min="6" max="6" width="10.7109375" bestFit="1" customWidth="1"/>
    <col min="7" max="7" width="14.42578125" bestFit="1" customWidth="1"/>
    <col min="8" max="8" width="17.28515625" customWidth="1"/>
    <col min="9" max="9" width="17.28515625" bestFit="1" customWidth="1"/>
    <col min="10" max="10" width="17.28515625" customWidth="1"/>
    <col min="11" max="11" width="14.42578125" bestFit="1" customWidth="1"/>
    <col min="12" max="12" width="11.28515625" style="220" bestFit="1" customWidth="1"/>
    <col min="13" max="13" width="12.140625" bestFit="1" customWidth="1"/>
    <col min="14" max="14" width="10.28515625" bestFit="1" customWidth="1"/>
    <col min="15" max="15" width="17.7109375" bestFit="1" customWidth="1"/>
    <col min="16" max="16" width="14.5703125" bestFit="1" customWidth="1"/>
    <col min="17" max="17" width="19" bestFit="1" customWidth="1"/>
    <col min="23" max="23" width="20.28515625" customWidth="1"/>
    <col min="28" max="28" width="48.7109375" customWidth="1"/>
  </cols>
  <sheetData>
    <row r="1" spans="1:28" s="51" customFormat="1" x14ac:dyDescent="0.25">
      <c r="A1" s="51" t="s">
        <v>1575</v>
      </c>
      <c r="B1" s="51" t="s">
        <v>1367</v>
      </c>
      <c r="C1" s="51" t="s">
        <v>1560</v>
      </c>
      <c r="D1" s="51" t="s">
        <v>1576</v>
      </c>
      <c r="E1" s="51" t="s">
        <v>1577</v>
      </c>
      <c r="F1" s="51" t="s">
        <v>1578</v>
      </c>
      <c r="G1" s="51" t="s">
        <v>1579</v>
      </c>
      <c r="H1" s="51" t="s">
        <v>1528</v>
      </c>
      <c r="I1" s="51" t="s">
        <v>1366</v>
      </c>
      <c r="J1" s="51" t="s">
        <v>1380</v>
      </c>
      <c r="K1" s="51" t="s">
        <v>1357</v>
      </c>
      <c r="L1" s="284" t="s">
        <v>1356</v>
      </c>
      <c r="M1" s="51" t="s">
        <v>1348</v>
      </c>
      <c r="N1" s="51" t="s">
        <v>1349</v>
      </c>
      <c r="O1" s="51" t="s">
        <v>1350</v>
      </c>
      <c r="P1" s="51" t="s">
        <v>1368</v>
      </c>
      <c r="Q1" s="51" t="s">
        <v>1375</v>
      </c>
      <c r="V1" s="286" t="s">
        <v>1382</v>
      </c>
      <c r="W1" s="286" t="s">
        <v>1414</v>
      </c>
      <c r="X1" s="51" t="s">
        <v>1415</v>
      </c>
      <c r="Y1" s="51" t="s">
        <v>1416</v>
      </c>
      <c r="AA1" s="51" t="s">
        <v>1417</v>
      </c>
      <c r="AB1" s="51" t="s">
        <v>1468</v>
      </c>
    </row>
    <row r="2" spans="1:28" x14ac:dyDescent="0.25">
      <c r="A2">
        <v>-11</v>
      </c>
      <c r="B2" s="282" t="s">
        <v>1558</v>
      </c>
      <c r="C2" s="282" t="s">
        <v>1565</v>
      </c>
      <c r="D2" s="282"/>
      <c r="E2" s="282"/>
      <c r="F2" s="282"/>
      <c r="H2" s="287">
        <v>0</v>
      </c>
      <c r="I2" s="285" t="s">
        <v>1379</v>
      </c>
      <c r="J2" t="s">
        <v>1381</v>
      </c>
      <c r="K2" t="s">
        <v>1358</v>
      </c>
      <c r="L2" s="282">
        <v>1</v>
      </c>
      <c r="M2" t="s">
        <v>1550</v>
      </c>
      <c r="N2" t="s">
        <v>111</v>
      </c>
      <c r="O2" t="s">
        <v>111</v>
      </c>
      <c r="P2" t="s">
        <v>1370</v>
      </c>
      <c r="Q2" t="s">
        <v>1585</v>
      </c>
      <c r="V2" s="283" t="s">
        <v>1396</v>
      </c>
      <c r="W2" s="283" t="s">
        <v>1401</v>
      </c>
      <c r="Y2">
        <v>10</v>
      </c>
      <c r="AA2" t="s">
        <v>1418</v>
      </c>
      <c r="AB2" t="s">
        <v>1469</v>
      </c>
    </row>
    <row r="3" spans="1:28" x14ac:dyDescent="0.25">
      <c r="A3">
        <v>-10</v>
      </c>
      <c r="B3" s="282">
        <v>-50</v>
      </c>
      <c r="C3" s="282" t="s">
        <v>1565</v>
      </c>
      <c r="D3" s="282"/>
      <c r="E3" s="282"/>
      <c r="F3" s="282"/>
      <c r="G3" s="282"/>
      <c r="H3" s="287" t="s">
        <v>1529</v>
      </c>
      <c r="I3" s="283" t="s">
        <v>1539</v>
      </c>
      <c r="J3" s="283" t="s">
        <v>1518</v>
      </c>
      <c r="K3" t="s">
        <v>1359</v>
      </c>
      <c r="L3" s="282">
        <v>2</v>
      </c>
      <c r="M3" t="s">
        <v>1556</v>
      </c>
      <c r="N3" t="s">
        <v>1372</v>
      </c>
      <c r="O3" t="s">
        <v>1355</v>
      </c>
      <c r="P3" t="s">
        <v>1371</v>
      </c>
      <c r="Q3" t="s">
        <v>1586</v>
      </c>
      <c r="V3" s="283" t="s">
        <v>1397</v>
      </c>
      <c r="W3" s="283" t="s">
        <v>1402</v>
      </c>
      <c r="Y3">
        <v>20</v>
      </c>
      <c r="AA3" t="s">
        <v>1419</v>
      </c>
      <c r="AB3" t="s">
        <v>1470</v>
      </c>
    </row>
    <row r="4" spans="1:28" x14ac:dyDescent="0.25">
      <c r="A4">
        <v>-9</v>
      </c>
      <c r="B4" s="282">
        <v>-45</v>
      </c>
      <c r="C4" s="282" t="s">
        <v>1566</v>
      </c>
      <c r="D4" s="282"/>
      <c r="E4" s="282"/>
      <c r="F4" s="282"/>
      <c r="G4" s="282"/>
      <c r="H4" s="287">
        <v>2</v>
      </c>
      <c r="I4" s="283" t="s">
        <v>1540</v>
      </c>
      <c r="J4" t="s">
        <v>1519</v>
      </c>
      <c r="K4" t="s">
        <v>1360</v>
      </c>
      <c r="L4" s="282">
        <v>3</v>
      </c>
      <c r="M4" t="s">
        <v>1552</v>
      </c>
      <c r="N4" t="s">
        <v>1351</v>
      </c>
      <c r="O4" t="s">
        <v>1369</v>
      </c>
      <c r="P4" t="s">
        <v>1374</v>
      </c>
      <c r="Q4" t="s">
        <v>1587</v>
      </c>
      <c r="V4" s="283" t="s">
        <v>1398</v>
      </c>
      <c r="W4" s="283" t="s">
        <v>1403</v>
      </c>
      <c r="Y4">
        <v>25</v>
      </c>
      <c r="AA4" t="s">
        <v>1420</v>
      </c>
      <c r="AB4" t="s">
        <v>1471</v>
      </c>
    </row>
    <row r="5" spans="1:28" x14ac:dyDescent="0.25">
      <c r="A5">
        <v>-8</v>
      </c>
      <c r="B5" s="282">
        <v>-40</v>
      </c>
      <c r="C5" s="282" t="s">
        <v>1566</v>
      </c>
      <c r="D5" s="282"/>
      <c r="F5" s="282"/>
      <c r="G5" s="282" t="s">
        <v>1174</v>
      </c>
      <c r="H5" s="287" t="s">
        <v>1530</v>
      </c>
      <c r="I5" s="283" t="s">
        <v>1541</v>
      </c>
      <c r="J5" s="283" t="s">
        <v>1520</v>
      </c>
      <c r="K5" t="s">
        <v>1361</v>
      </c>
      <c r="L5" s="282">
        <v>4</v>
      </c>
      <c r="M5" t="s">
        <v>1553</v>
      </c>
      <c r="N5" t="s">
        <v>1352</v>
      </c>
      <c r="O5" t="s">
        <v>1595</v>
      </c>
      <c r="Q5" t="s">
        <v>1376</v>
      </c>
      <c r="V5" s="283" t="s">
        <v>1399</v>
      </c>
      <c r="W5" s="283" t="s">
        <v>1404</v>
      </c>
      <c r="Y5">
        <v>35</v>
      </c>
      <c r="AA5" t="s">
        <v>1421</v>
      </c>
      <c r="AB5" t="s">
        <v>1472</v>
      </c>
    </row>
    <row r="6" spans="1:28" x14ac:dyDescent="0.25">
      <c r="A6">
        <v>-7</v>
      </c>
      <c r="B6" s="282">
        <v>-35</v>
      </c>
      <c r="C6" s="282" t="s">
        <v>1566</v>
      </c>
      <c r="D6" s="282"/>
      <c r="E6" s="282"/>
      <c r="F6" s="282"/>
      <c r="G6" s="282" t="s">
        <v>1174</v>
      </c>
      <c r="H6" s="287" t="s">
        <v>1531</v>
      </c>
      <c r="I6" s="283" t="s">
        <v>1542</v>
      </c>
      <c r="J6" s="283" t="s">
        <v>1521</v>
      </c>
      <c r="K6" t="s">
        <v>1362</v>
      </c>
      <c r="L6" s="282">
        <v>5</v>
      </c>
      <c r="M6" t="s">
        <v>1554</v>
      </c>
      <c r="N6" t="s">
        <v>117</v>
      </c>
      <c r="O6" t="s">
        <v>1596</v>
      </c>
      <c r="Q6" t="s">
        <v>1377</v>
      </c>
      <c r="V6" s="283" t="s">
        <v>1383</v>
      </c>
      <c r="W6" s="283" t="s">
        <v>1405</v>
      </c>
      <c r="Y6">
        <v>35</v>
      </c>
      <c r="AA6" t="s">
        <v>1422</v>
      </c>
      <c r="AB6" t="s">
        <v>1473</v>
      </c>
    </row>
    <row r="7" spans="1:28" x14ac:dyDescent="0.25">
      <c r="A7">
        <v>-6</v>
      </c>
      <c r="B7" s="282">
        <v>-30</v>
      </c>
      <c r="C7" s="282" t="s">
        <v>1570</v>
      </c>
      <c r="D7" s="282"/>
      <c r="E7" s="282"/>
      <c r="F7" s="282"/>
      <c r="G7" s="282" t="s">
        <v>1174</v>
      </c>
      <c r="H7" s="287" t="s">
        <v>1532</v>
      </c>
      <c r="I7" s="283" t="s">
        <v>1543</v>
      </c>
      <c r="J7" s="283" t="s">
        <v>1522</v>
      </c>
      <c r="K7" t="s">
        <v>1363</v>
      </c>
      <c r="L7" s="282">
        <v>6</v>
      </c>
      <c r="M7" t="s">
        <v>1555</v>
      </c>
      <c r="N7" t="s">
        <v>1353</v>
      </c>
      <c r="O7" t="s">
        <v>1593</v>
      </c>
      <c r="P7" t="s">
        <v>1568</v>
      </c>
      <c r="Q7" t="s">
        <v>1378</v>
      </c>
      <c r="V7" s="283" t="s">
        <v>1384</v>
      </c>
      <c r="W7" s="283" t="s">
        <v>1406</v>
      </c>
      <c r="Y7">
        <v>65</v>
      </c>
      <c r="AA7" t="s">
        <v>1423</v>
      </c>
      <c r="AB7" t="s">
        <v>1474</v>
      </c>
    </row>
    <row r="8" spans="1:28" x14ac:dyDescent="0.25">
      <c r="A8">
        <v>-5</v>
      </c>
      <c r="B8" s="282">
        <v>-25</v>
      </c>
      <c r="C8" s="282" t="s">
        <v>1570</v>
      </c>
      <c r="D8" s="282" t="s">
        <v>1174</v>
      </c>
      <c r="E8" s="282"/>
      <c r="F8" s="282" t="s">
        <v>1174</v>
      </c>
      <c r="G8" s="282" t="s">
        <v>1174</v>
      </c>
      <c r="H8" s="287" t="s">
        <v>1533</v>
      </c>
      <c r="I8" s="283" t="s">
        <v>1544</v>
      </c>
      <c r="J8" s="283" t="s">
        <v>1523</v>
      </c>
      <c r="K8" t="s">
        <v>1364</v>
      </c>
      <c r="L8" s="282">
        <v>7</v>
      </c>
      <c r="M8" t="s">
        <v>1557</v>
      </c>
      <c r="N8" t="s">
        <v>1354</v>
      </c>
      <c r="O8" t="s">
        <v>1594</v>
      </c>
      <c r="P8" t="s">
        <v>1569</v>
      </c>
      <c r="V8" s="283" t="s">
        <v>1385</v>
      </c>
      <c r="W8" s="283" t="s">
        <v>1371</v>
      </c>
      <c r="X8">
        <v>20</v>
      </c>
      <c r="Y8">
        <v>60</v>
      </c>
      <c r="AA8" t="s">
        <v>1424</v>
      </c>
      <c r="AB8" t="s">
        <v>1475</v>
      </c>
    </row>
    <row r="9" spans="1:28" x14ac:dyDescent="0.25">
      <c r="A9">
        <v>-4</v>
      </c>
      <c r="B9" s="282">
        <v>-20</v>
      </c>
      <c r="C9" s="282" t="s">
        <v>1570</v>
      </c>
      <c r="D9" s="282" t="s">
        <v>1174</v>
      </c>
      <c r="E9" s="282"/>
      <c r="F9" s="282" t="s">
        <v>1174</v>
      </c>
      <c r="G9" s="282" t="s">
        <v>1174</v>
      </c>
      <c r="H9" s="287" t="s">
        <v>1534</v>
      </c>
      <c r="I9" s="283" t="s">
        <v>1545</v>
      </c>
      <c r="J9" s="283" t="s">
        <v>1524</v>
      </c>
      <c r="K9" t="s">
        <v>1365</v>
      </c>
      <c r="L9" s="282">
        <v>8</v>
      </c>
      <c r="M9" t="s">
        <v>1551</v>
      </c>
      <c r="N9" t="s">
        <v>1373</v>
      </c>
      <c r="P9" t="s">
        <v>1571</v>
      </c>
      <c r="V9" s="283" t="s">
        <v>1386</v>
      </c>
      <c r="W9" s="283" t="s">
        <v>1370</v>
      </c>
      <c r="X9">
        <v>30</v>
      </c>
      <c r="Y9">
        <v>70</v>
      </c>
      <c r="AA9" t="s">
        <v>1425</v>
      </c>
      <c r="AB9" t="s">
        <v>1476</v>
      </c>
    </row>
    <row r="10" spans="1:28" x14ac:dyDescent="0.25">
      <c r="A10">
        <v>-3</v>
      </c>
      <c r="B10" s="282">
        <v>-15</v>
      </c>
      <c r="C10" s="282" t="s">
        <v>1563</v>
      </c>
      <c r="D10" s="282" t="s">
        <v>1174</v>
      </c>
      <c r="E10" s="282"/>
      <c r="F10" s="282" t="s">
        <v>1174</v>
      </c>
      <c r="G10" s="282" t="s">
        <v>1174</v>
      </c>
      <c r="H10" s="287" t="s">
        <v>1535</v>
      </c>
      <c r="I10" s="283" t="s">
        <v>1546</v>
      </c>
      <c r="J10" s="283" t="s">
        <v>1410</v>
      </c>
      <c r="L10" s="282">
        <v>9</v>
      </c>
      <c r="P10" t="s">
        <v>1572</v>
      </c>
      <c r="V10" s="283" t="s">
        <v>1387</v>
      </c>
      <c r="W10" s="283" t="s">
        <v>1372</v>
      </c>
      <c r="X10">
        <v>30</v>
      </c>
      <c r="AA10" t="s">
        <v>1426</v>
      </c>
      <c r="AB10" t="s">
        <v>1477</v>
      </c>
    </row>
    <row r="11" spans="1:28" x14ac:dyDescent="0.25">
      <c r="A11">
        <v>-2</v>
      </c>
      <c r="B11" s="282">
        <v>-10</v>
      </c>
      <c r="C11" s="282" t="s">
        <v>1563</v>
      </c>
      <c r="D11" s="282" t="s">
        <v>1174</v>
      </c>
      <c r="E11" s="282" t="s">
        <v>1174</v>
      </c>
      <c r="F11" s="282" t="s">
        <v>1174</v>
      </c>
      <c r="G11" s="282" t="s">
        <v>1174</v>
      </c>
      <c r="H11" s="287" t="s">
        <v>1536</v>
      </c>
      <c r="I11" s="283" t="s">
        <v>1547</v>
      </c>
      <c r="J11" s="283" t="s">
        <v>1525</v>
      </c>
      <c r="V11" s="283" t="s">
        <v>1388</v>
      </c>
      <c r="W11" s="283" t="s">
        <v>1351</v>
      </c>
      <c r="X11">
        <v>25</v>
      </c>
      <c r="AA11" t="s">
        <v>1427</v>
      </c>
      <c r="AB11" t="s">
        <v>1478</v>
      </c>
    </row>
    <row r="12" spans="1:28" x14ac:dyDescent="0.25">
      <c r="A12">
        <v>-1</v>
      </c>
      <c r="B12" s="282">
        <v>-5</v>
      </c>
      <c r="C12" s="282" t="s">
        <v>1567</v>
      </c>
      <c r="D12" s="282" t="s">
        <v>1174</v>
      </c>
      <c r="E12" s="282" t="s">
        <v>1174</v>
      </c>
      <c r="F12" s="282" t="s">
        <v>1174</v>
      </c>
      <c r="G12" s="282" t="s">
        <v>1174</v>
      </c>
      <c r="H12" s="287" t="s">
        <v>1537</v>
      </c>
      <c r="I12" s="283" t="s">
        <v>1548</v>
      </c>
      <c r="J12" s="283" t="s">
        <v>1526</v>
      </c>
      <c r="V12" s="283" t="s">
        <v>1389</v>
      </c>
      <c r="W12" s="283" t="s">
        <v>1413</v>
      </c>
      <c r="X12">
        <v>25</v>
      </c>
      <c r="AA12" t="s">
        <v>1428</v>
      </c>
      <c r="AB12" t="s">
        <v>1479</v>
      </c>
    </row>
    <row r="13" spans="1:28" x14ac:dyDescent="0.25">
      <c r="A13">
        <v>0</v>
      </c>
      <c r="B13" s="282">
        <v>0</v>
      </c>
      <c r="C13" s="282" t="s">
        <v>1567</v>
      </c>
      <c r="D13" s="282" t="s">
        <v>1174</v>
      </c>
      <c r="E13" s="282" t="s">
        <v>1174</v>
      </c>
      <c r="F13" s="282" t="s">
        <v>1174</v>
      </c>
      <c r="G13" s="282"/>
      <c r="H13" s="287">
        <v>11</v>
      </c>
      <c r="I13" s="283" t="s">
        <v>1549</v>
      </c>
      <c r="J13" s="283" t="s">
        <v>1527</v>
      </c>
      <c r="V13" s="283" t="s">
        <v>1390</v>
      </c>
      <c r="W13" s="283" t="s">
        <v>1407</v>
      </c>
      <c r="X13">
        <v>25</v>
      </c>
      <c r="AA13" t="s">
        <v>1429</v>
      </c>
      <c r="AB13" t="s">
        <v>1480</v>
      </c>
    </row>
    <row r="14" spans="1:28" x14ac:dyDescent="0.25">
      <c r="A14">
        <v>1</v>
      </c>
      <c r="B14" s="282">
        <v>5</v>
      </c>
      <c r="C14" s="282" t="s">
        <v>1573</v>
      </c>
      <c r="D14" s="282" t="s">
        <v>1174</v>
      </c>
      <c r="E14" s="282" t="s">
        <v>1174</v>
      </c>
      <c r="F14" s="282" t="s">
        <v>1174</v>
      </c>
      <c r="G14" s="282"/>
      <c r="H14" s="287">
        <v>12</v>
      </c>
      <c r="I14" s="283" t="s">
        <v>1538</v>
      </c>
      <c r="J14" s="283" t="s">
        <v>985</v>
      </c>
      <c r="V14" s="283" t="s">
        <v>1391</v>
      </c>
      <c r="W14" s="283" t="s">
        <v>1412</v>
      </c>
      <c r="X14">
        <v>30</v>
      </c>
      <c r="AA14" t="s">
        <v>1430</v>
      </c>
      <c r="AB14" t="s">
        <v>1481</v>
      </c>
    </row>
    <row r="15" spans="1:28" x14ac:dyDescent="0.25">
      <c r="A15">
        <v>2</v>
      </c>
      <c r="B15" s="282">
        <v>10</v>
      </c>
      <c r="C15" s="282" t="s">
        <v>1573</v>
      </c>
      <c r="D15" s="282" t="s">
        <v>1174</v>
      </c>
      <c r="E15" s="282" t="s">
        <v>1174</v>
      </c>
      <c r="F15" s="282" t="s">
        <v>1174</v>
      </c>
      <c r="G15" s="282"/>
      <c r="V15" s="283" t="s">
        <v>1392</v>
      </c>
      <c r="W15" s="283" t="s">
        <v>1411</v>
      </c>
      <c r="X15">
        <v>40</v>
      </c>
      <c r="AA15" t="s">
        <v>1431</v>
      </c>
      <c r="AB15" t="s">
        <v>1482</v>
      </c>
    </row>
    <row r="16" spans="1:28" x14ac:dyDescent="0.25">
      <c r="A16">
        <v>3</v>
      </c>
      <c r="B16" s="282">
        <v>15</v>
      </c>
      <c r="C16" s="282" t="s">
        <v>1562</v>
      </c>
      <c r="D16" s="282"/>
      <c r="E16" s="282" t="s">
        <v>1174</v>
      </c>
      <c r="F16" s="282"/>
      <c r="V16" s="283" t="s">
        <v>1393</v>
      </c>
      <c r="W16" s="283" t="s">
        <v>1373</v>
      </c>
      <c r="X16">
        <v>55</v>
      </c>
      <c r="AA16" t="s">
        <v>1432</v>
      </c>
      <c r="AB16" t="s">
        <v>1483</v>
      </c>
    </row>
    <row r="17" spans="1:28" x14ac:dyDescent="0.25">
      <c r="A17">
        <v>4</v>
      </c>
      <c r="B17" s="282">
        <v>20</v>
      </c>
      <c r="C17" s="282" t="s">
        <v>1562</v>
      </c>
      <c r="D17" s="282"/>
      <c r="E17" s="282" t="s">
        <v>1174</v>
      </c>
      <c r="F17" s="282"/>
      <c r="G17" s="282"/>
      <c r="V17" s="283" t="s">
        <v>1394</v>
      </c>
      <c r="W17" s="283" t="s">
        <v>1410</v>
      </c>
      <c r="X17">
        <v>10</v>
      </c>
      <c r="AA17" t="s">
        <v>1433</v>
      </c>
      <c r="AB17" t="s">
        <v>1484</v>
      </c>
    </row>
    <row r="18" spans="1:28" x14ac:dyDescent="0.25">
      <c r="A18">
        <v>5</v>
      </c>
      <c r="B18" s="282">
        <v>25</v>
      </c>
      <c r="C18" s="282" t="s">
        <v>1574</v>
      </c>
      <c r="D18" s="282"/>
      <c r="E18" s="282" t="s">
        <v>1174</v>
      </c>
      <c r="F18" s="282"/>
      <c r="G18" s="282"/>
      <c r="V18" s="283" t="s">
        <v>1395</v>
      </c>
      <c r="W18" s="283" t="s">
        <v>1408</v>
      </c>
      <c r="X18">
        <v>55</v>
      </c>
      <c r="AA18" t="s">
        <v>1434</v>
      </c>
      <c r="AB18" t="s">
        <v>1485</v>
      </c>
    </row>
    <row r="19" spans="1:28" ht="15.75" thickBot="1" x14ac:dyDescent="0.3">
      <c r="A19">
        <v>6</v>
      </c>
      <c r="B19" s="282">
        <v>30</v>
      </c>
      <c r="C19" s="282" t="s">
        <v>1574</v>
      </c>
      <c r="D19" s="282"/>
      <c r="E19" s="282"/>
      <c r="F19" s="282"/>
      <c r="G19" s="282"/>
      <c r="V19" s="283" t="s">
        <v>1400</v>
      </c>
      <c r="W19" t="s">
        <v>1409</v>
      </c>
      <c r="AA19" t="s">
        <v>1435</v>
      </c>
      <c r="AB19" t="s">
        <v>1486</v>
      </c>
    </row>
    <row r="20" spans="1:28" x14ac:dyDescent="0.25">
      <c r="A20">
        <v>7</v>
      </c>
      <c r="B20" s="282">
        <v>35</v>
      </c>
      <c r="C20" s="282" t="s">
        <v>1561</v>
      </c>
      <c r="D20" s="282"/>
      <c r="E20" s="282"/>
      <c r="F20" s="282"/>
      <c r="G20" s="282"/>
      <c r="M20" s="293" t="s">
        <v>1576</v>
      </c>
      <c r="AA20" t="s">
        <v>1436</v>
      </c>
      <c r="AB20" t="s">
        <v>1487</v>
      </c>
    </row>
    <row r="21" spans="1:28" x14ac:dyDescent="0.25">
      <c r="A21">
        <v>8</v>
      </c>
      <c r="B21" s="282">
        <v>40</v>
      </c>
      <c r="C21" s="282" t="s">
        <v>1561</v>
      </c>
      <c r="D21" s="282"/>
      <c r="F21" s="282"/>
      <c r="G21" s="282"/>
      <c r="M21" s="294" t="s">
        <v>1577</v>
      </c>
      <c r="AA21" t="s">
        <v>1437</v>
      </c>
      <c r="AB21" t="s">
        <v>1488</v>
      </c>
    </row>
    <row r="22" spans="1:28" x14ac:dyDescent="0.25">
      <c r="A22">
        <v>9</v>
      </c>
      <c r="B22" s="282">
        <v>45</v>
      </c>
      <c r="C22" s="282" t="s">
        <v>1564</v>
      </c>
      <c r="D22" s="282"/>
      <c r="E22" s="282"/>
      <c r="F22" s="282"/>
      <c r="G22" s="282"/>
      <c r="M22" s="294" t="s">
        <v>1580</v>
      </c>
      <c r="AA22" t="s">
        <v>1438</v>
      </c>
      <c r="AB22" t="s">
        <v>1489</v>
      </c>
    </row>
    <row r="23" spans="1:28" ht="15.75" thickBot="1" x14ac:dyDescent="0.3">
      <c r="A23">
        <v>10</v>
      </c>
      <c r="B23" s="282">
        <v>50</v>
      </c>
      <c r="C23" s="282" t="s">
        <v>1564</v>
      </c>
      <c r="D23" s="282"/>
      <c r="E23" s="282"/>
      <c r="F23" s="282"/>
      <c r="G23" s="282"/>
      <c r="M23" s="295" t="s">
        <v>1579</v>
      </c>
      <c r="AA23" t="s">
        <v>1439</v>
      </c>
      <c r="AB23" t="s">
        <v>1490</v>
      </c>
    </row>
    <row r="24" spans="1:28" x14ac:dyDescent="0.25">
      <c r="A24">
        <v>11</v>
      </c>
      <c r="B24" s="282" t="s">
        <v>1559</v>
      </c>
      <c r="C24" s="282" t="s">
        <v>1564</v>
      </c>
      <c r="D24" s="282"/>
      <c r="E24" s="282"/>
      <c r="F24" s="282"/>
      <c r="G24" s="282"/>
      <c r="AA24" t="s">
        <v>1440</v>
      </c>
      <c r="AB24" t="s">
        <v>1491</v>
      </c>
    </row>
    <row r="25" spans="1:28" x14ac:dyDescent="0.25">
      <c r="B25" s="282"/>
      <c r="C25" s="282"/>
      <c r="D25" s="282"/>
      <c r="E25" s="282"/>
      <c r="F25" s="282"/>
      <c r="G25" s="282"/>
      <c r="AA25" t="s">
        <v>1441</v>
      </c>
      <c r="AB25" t="s">
        <v>1492</v>
      </c>
    </row>
    <row r="26" spans="1:28" x14ac:dyDescent="0.25">
      <c r="AA26" t="s">
        <v>1442</v>
      </c>
      <c r="AB26" t="s">
        <v>1493</v>
      </c>
    </row>
    <row r="27" spans="1:28" x14ac:dyDescent="0.25">
      <c r="A27" s="220" t="s">
        <v>1581</v>
      </c>
      <c r="B27" s="220" t="s">
        <v>1582</v>
      </c>
      <c r="C27" s="220" t="s">
        <v>1583</v>
      </c>
      <c r="D27" s="220" t="s">
        <v>1348</v>
      </c>
      <c r="E27" s="220" t="s">
        <v>1349</v>
      </c>
      <c r="F27" s="220" t="s">
        <v>1350</v>
      </c>
      <c r="G27" s="220" t="s">
        <v>1368</v>
      </c>
      <c r="H27" s="220" t="s">
        <v>1584</v>
      </c>
      <c r="AA27" t="s">
        <v>1443</v>
      </c>
      <c r="AB27" t="s">
        <v>1494</v>
      </c>
    </row>
    <row r="28" spans="1:28" x14ac:dyDescent="0.25">
      <c r="A28" t="s">
        <v>1577</v>
      </c>
      <c r="B28" t="str">
        <f ca="1">IF($A$28="Spring",VLOOKUP(RANDBETWEEN(-5,2),$A$2:$C$24,3),IF($A$28="Summer",VLOOKUP(RANDBETWEEN(-2,5),$A$2:$C$24,3),IF($A$28="Autumn",VLOOKUP(RANDBETWEEN(-5,2),$A$2:$C$24,3),VLOOKUP(RANDBETWEEN(-8,-1),$A$2:$C$24,3))))</f>
        <v>Warm</v>
      </c>
      <c r="C28" t="str">
        <f ca="1">VLOOKUP(RANDBETWEEN(0,12),$H$2:$J$14,3)</f>
        <v>Light Breeze</v>
      </c>
      <c r="D28" t="str">
        <f ca="1">VLOOKUP(RANDBETWEEN(1,8),$L$2:$M$9,2)</f>
        <v>Patchy</v>
      </c>
      <c r="E28" t="str">
        <f ca="1">VLOOKUP(RANDBETWEEN(1,8),$L$2:$N$9,3)</f>
        <v>Monsoon</v>
      </c>
      <c r="F28" t="str">
        <f ca="1">VLOOKUP(RANDBETWEEN(1,7),$L$2:$O$8,4)</f>
        <v>Storm, Hy</v>
      </c>
      <c r="G28" t="str">
        <f ca="1">IF(RANDBETWEEN(1,100)&lt;25,VLOOKUP(RANDBETWEEN(1,9),$L$2:$P$10,5),"None")</f>
        <v>None</v>
      </c>
      <c r="H28" t="str">
        <f ca="1">VLOOKUP(RANDBETWEEN(1,9),$L$2:$Q$7,6)</f>
        <v>All Month</v>
      </c>
      <c r="AA28" t="s">
        <v>1444</v>
      </c>
      <c r="AB28" t="s">
        <v>1495</v>
      </c>
    </row>
    <row r="29" spans="1:28" x14ac:dyDescent="0.25">
      <c r="AA29" t="s">
        <v>1445</v>
      </c>
      <c r="AB29" t="s">
        <v>1496</v>
      </c>
    </row>
    <row r="30" spans="1:28" x14ac:dyDescent="0.25">
      <c r="AA30" t="s">
        <v>1446</v>
      </c>
      <c r="AB30" t="s">
        <v>1497</v>
      </c>
    </row>
    <row r="31" spans="1:28" x14ac:dyDescent="0.25">
      <c r="AA31" t="s">
        <v>1447</v>
      </c>
      <c r="AB31" t="s">
        <v>1498</v>
      </c>
    </row>
    <row r="32" spans="1:28" x14ac:dyDescent="0.25">
      <c r="AA32" t="s">
        <v>1448</v>
      </c>
      <c r="AB32" t="s">
        <v>1499</v>
      </c>
    </row>
    <row r="33" spans="27:28" x14ac:dyDescent="0.25">
      <c r="AA33" t="s">
        <v>1449</v>
      </c>
      <c r="AB33" t="s">
        <v>1500</v>
      </c>
    </row>
    <row r="34" spans="27:28" x14ac:dyDescent="0.25">
      <c r="AA34" t="s">
        <v>1450</v>
      </c>
      <c r="AB34" t="s">
        <v>1501</v>
      </c>
    </row>
    <row r="35" spans="27:28" x14ac:dyDescent="0.25">
      <c r="AA35" t="s">
        <v>1451</v>
      </c>
      <c r="AB35" t="s">
        <v>1502</v>
      </c>
    </row>
    <row r="36" spans="27:28" x14ac:dyDescent="0.25">
      <c r="AA36" t="s">
        <v>1452</v>
      </c>
      <c r="AB36" t="s">
        <v>1503</v>
      </c>
    </row>
    <row r="37" spans="27:28" x14ac:dyDescent="0.25">
      <c r="AA37" t="s">
        <v>1453</v>
      </c>
      <c r="AB37" t="s">
        <v>1504</v>
      </c>
    </row>
    <row r="38" spans="27:28" x14ac:dyDescent="0.25">
      <c r="AA38" t="s">
        <v>1454</v>
      </c>
      <c r="AB38" t="s">
        <v>1505</v>
      </c>
    </row>
    <row r="39" spans="27:28" x14ac:dyDescent="0.25">
      <c r="AA39" t="s">
        <v>1455</v>
      </c>
      <c r="AB39" t="s">
        <v>1506</v>
      </c>
    </row>
    <row r="40" spans="27:28" x14ac:dyDescent="0.25">
      <c r="AA40" t="s">
        <v>1456</v>
      </c>
      <c r="AB40" t="s">
        <v>1507</v>
      </c>
    </row>
    <row r="41" spans="27:28" x14ac:dyDescent="0.25">
      <c r="AA41" t="s">
        <v>1457</v>
      </c>
      <c r="AB41" t="s">
        <v>1508</v>
      </c>
    </row>
    <row r="42" spans="27:28" x14ac:dyDescent="0.25">
      <c r="AA42" t="s">
        <v>1458</v>
      </c>
      <c r="AB42" t="s">
        <v>1509</v>
      </c>
    </row>
    <row r="43" spans="27:28" x14ac:dyDescent="0.25">
      <c r="AA43" t="s">
        <v>1459</v>
      </c>
      <c r="AB43" t="s">
        <v>1510</v>
      </c>
    </row>
    <row r="44" spans="27:28" x14ac:dyDescent="0.25">
      <c r="AA44" t="s">
        <v>1460</v>
      </c>
      <c r="AB44" t="s">
        <v>1511</v>
      </c>
    </row>
    <row r="45" spans="27:28" x14ac:dyDescent="0.25">
      <c r="AA45" t="s">
        <v>1461</v>
      </c>
      <c r="AB45" t="s">
        <v>1512</v>
      </c>
    </row>
    <row r="46" spans="27:28" x14ac:dyDescent="0.25">
      <c r="AA46" t="s">
        <v>1462</v>
      </c>
      <c r="AB46" t="s">
        <v>1513</v>
      </c>
    </row>
    <row r="47" spans="27:28" x14ac:dyDescent="0.25">
      <c r="AA47" t="s">
        <v>1463</v>
      </c>
      <c r="AB47" t="s">
        <v>1514</v>
      </c>
    </row>
    <row r="48" spans="27:28" x14ac:dyDescent="0.25">
      <c r="AA48" t="s">
        <v>1464</v>
      </c>
      <c r="AB48" t="s">
        <v>1515</v>
      </c>
    </row>
    <row r="49" spans="27:28" x14ac:dyDescent="0.25">
      <c r="AA49" t="s">
        <v>1465</v>
      </c>
      <c r="AB49" t="s">
        <v>1516</v>
      </c>
    </row>
    <row r="50" spans="27:28" x14ac:dyDescent="0.25">
      <c r="AA50" t="s">
        <v>1466</v>
      </c>
      <c r="AB50" t="s">
        <v>1517</v>
      </c>
    </row>
    <row r="51" spans="27:28" x14ac:dyDescent="0.25">
      <c r="AA51" t="s">
        <v>1467</v>
      </c>
    </row>
  </sheetData>
  <dataValidations count="1">
    <dataValidation type="list" allowBlank="1" showInputMessage="1" showErrorMessage="1" sqref="A28">
      <formula1>Seasons</formula1>
    </dataValidation>
  </dataValidation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26"/>
  <sheetViews>
    <sheetView topLeftCell="A16" workbookViewId="0">
      <selection activeCell="B25" sqref="B25"/>
    </sheetView>
  </sheetViews>
  <sheetFormatPr defaultRowHeight="15" x14ac:dyDescent="0.25"/>
  <cols>
    <col min="1" max="1" width="0.85546875" customWidth="1"/>
    <col min="2" max="2" width="83.140625" style="317" customWidth="1"/>
  </cols>
  <sheetData>
    <row r="1" spans="2:2" ht="5.25" customHeight="1" thickBot="1" x14ac:dyDescent="0.3"/>
    <row r="2" spans="2:2" ht="29.25" thickBot="1" x14ac:dyDescent="0.5">
      <c r="B2" s="328" t="s">
        <v>1641</v>
      </c>
    </row>
    <row r="3" spans="2:2" ht="15.75" thickBot="1" x14ac:dyDescent="0.3">
      <c r="B3" s="333" t="s">
        <v>1664</v>
      </c>
    </row>
    <row r="4" spans="2:2" ht="30" x14ac:dyDescent="0.25">
      <c r="B4" s="323" t="s">
        <v>1665</v>
      </c>
    </row>
    <row r="5" spans="2:2" ht="45" x14ac:dyDescent="0.25">
      <c r="B5" s="317" t="s">
        <v>1666</v>
      </c>
    </row>
    <row r="6" spans="2:2" ht="15.75" thickBot="1" x14ac:dyDescent="0.3">
      <c r="B6" s="323"/>
    </row>
    <row r="7" spans="2:2" ht="15.75" thickBot="1" x14ac:dyDescent="0.3">
      <c r="B7" s="333" t="s">
        <v>1343</v>
      </c>
    </row>
    <row r="8" spans="2:2" ht="30" x14ac:dyDescent="0.25">
      <c r="B8" s="323" t="s">
        <v>1344</v>
      </c>
    </row>
    <row r="9" spans="2:2" ht="30" x14ac:dyDescent="0.25">
      <c r="B9" s="317" t="s">
        <v>1644</v>
      </c>
    </row>
    <row r="10" spans="2:2" ht="45" x14ac:dyDescent="0.25">
      <c r="B10" s="323" t="s">
        <v>1643</v>
      </c>
    </row>
    <row r="11" spans="2:2" ht="30" x14ac:dyDescent="0.25">
      <c r="B11" s="323" t="s">
        <v>1667</v>
      </c>
    </row>
    <row r="12" spans="2:2" ht="15.75" thickBot="1" x14ac:dyDescent="0.3">
      <c r="B12" s="323"/>
    </row>
    <row r="13" spans="2:2" ht="15.75" thickBot="1" x14ac:dyDescent="0.3">
      <c r="B13" s="333" t="s">
        <v>1346</v>
      </c>
    </row>
    <row r="14" spans="2:2" ht="45" x14ac:dyDescent="0.25">
      <c r="B14" s="323" t="s">
        <v>1642</v>
      </c>
    </row>
    <row r="15" spans="2:2" ht="30" x14ac:dyDescent="0.25">
      <c r="B15" s="317" t="s">
        <v>1645</v>
      </c>
    </row>
    <row r="16" spans="2:2" ht="30" x14ac:dyDescent="0.25">
      <c r="B16" s="317" t="s">
        <v>1646</v>
      </c>
    </row>
    <row r="17" spans="2:2" x14ac:dyDescent="0.25">
      <c r="B17" s="317" t="s">
        <v>1647</v>
      </c>
    </row>
    <row r="18" spans="2:2" ht="45" x14ac:dyDescent="0.25">
      <c r="B18" s="317" t="s">
        <v>1648</v>
      </c>
    </row>
    <row r="19" spans="2:2" ht="15.75" thickBot="1" x14ac:dyDescent="0.3">
      <c r="B19" s="323"/>
    </row>
    <row r="20" spans="2:2" ht="15.75" thickBot="1" x14ac:dyDescent="0.3">
      <c r="B20" s="333" t="s">
        <v>1347</v>
      </c>
    </row>
    <row r="21" spans="2:2" ht="30" x14ac:dyDescent="0.25">
      <c r="B21" s="323" t="s">
        <v>1668</v>
      </c>
    </row>
    <row r="22" spans="2:2" ht="30" x14ac:dyDescent="0.25">
      <c r="B22" s="323" t="s">
        <v>1669</v>
      </c>
    </row>
    <row r="23" spans="2:2" ht="15.75" thickBot="1" x14ac:dyDescent="0.3"/>
    <row r="24" spans="2:2" ht="15.75" thickBot="1" x14ac:dyDescent="0.3">
      <c r="B24" s="333" t="s">
        <v>1649</v>
      </c>
    </row>
    <row r="25" spans="2:2" ht="30" x14ac:dyDescent="0.25">
      <c r="B25" s="317" t="s">
        <v>1650</v>
      </c>
    </row>
    <row r="26" spans="2:2" x14ac:dyDescent="0.25">
      <c r="B26" s="317" t="s">
        <v>1651</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D62"/>
  <sheetViews>
    <sheetView topLeftCell="A55" workbookViewId="0">
      <selection activeCell="B65" sqref="B65"/>
    </sheetView>
  </sheetViews>
  <sheetFormatPr defaultRowHeight="15" x14ac:dyDescent="0.25"/>
  <cols>
    <col min="1" max="1" width="0.85546875" customWidth="1"/>
    <col min="2" max="2" width="76.140625" style="323" customWidth="1"/>
    <col min="3" max="3" width="9.140625" style="5"/>
    <col min="4" max="4" width="9.140625" style="5" customWidth="1"/>
  </cols>
  <sheetData>
    <row r="1" spans="2:4" ht="5.25" customHeight="1" thickBot="1" x14ac:dyDescent="0.3"/>
    <row r="2" spans="2:4" ht="29.25" thickBot="1" x14ac:dyDescent="0.5">
      <c r="B2" s="334" t="s">
        <v>1622</v>
      </c>
    </row>
    <row r="3" spans="2:4" ht="32.25" thickBot="1" x14ac:dyDescent="0.3">
      <c r="B3" s="330" t="s">
        <v>1624</v>
      </c>
    </row>
    <row r="4" spans="2:4" ht="4.5" customHeight="1" thickBot="1" x14ac:dyDescent="0.3">
      <c r="B4" s="329"/>
    </row>
    <row r="5" spans="2:4" ht="32.25" thickBot="1" x14ac:dyDescent="0.3">
      <c r="B5" s="330" t="s">
        <v>1623</v>
      </c>
    </row>
    <row r="6" spans="2:4" ht="4.5" customHeight="1" thickBot="1" x14ac:dyDescent="0.3">
      <c r="B6" s="329"/>
    </row>
    <row r="7" spans="2:4" ht="32.25" thickBot="1" x14ac:dyDescent="0.3">
      <c r="B7" s="330" t="s">
        <v>1625</v>
      </c>
    </row>
    <row r="8" spans="2:4" ht="5.25" customHeight="1" thickBot="1" x14ac:dyDescent="0.3"/>
    <row r="9" spans="2:4" ht="16.5" thickBot="1" x14ac:dyDescent="0.3">
      <c r="B9" s="326" t="s">
        <v>159</v>
      </c>
      <c r="C9" s="316"/>
      <c r="D9" s="316"/>
    </row>
    <row r="10" spans="2:4" ht="15.75" thickBot="1" x14ac:dyDescent="0.3">
      <c r="B10" s="325" t="s">
        <v>160</v>
      </c>
      <c r="C10" s="316"/>
      <c r="D10" s="316"/>
    </row>
    <row r="11" spans="2:4" ht="16.5" thickBot="1" x14ac:dyDescent="0.3">
      <c r="B11" s="326" t="s">
        <v>161</v>
      </c>
      <c r="C11" s="316"/>
      <c r="D11" s="316"/>
    </row>
    <row r="12" spans="2:4" ht="15.75" thickBot="1" x14ac:dyDescent="0.3">
      <c r="B12" s="324" t="s">
        <v>166</v>
      </c>
      <c r="C12" s="318"/>
      <c r="D12" s="318"/>
    </row>
    <row r="13" spans="2:4" ht="15.75" thickBot="1" x14ac:dyDescent="0.3">
      <c r="B13" s="325" t="s">
        <v>162</v>
      </c>
      <c r="C13" s="258"/>
      <c r="D13" s="258"/>
    </row>
    <row r="14" spans="2:4" ht="15.75" thickBot="1" x14ac:dyDescent="0.3">
      <c r="B14" s="325" t="s">
        <v>164</v>
      </c>
      <c r="C14" s="258"/>
      <c r="D14" s="258"/>
    </row>
    <row r="15" spans="2:4" s="95" customFormat="1" ht="30.75" thickBot="1" x14ac:dyDescent="0.3">
      <c r="B15" s="325" t="s">
        <v>170</v>
      </c>
      <c r="C15" s="258"/>
      <c r="D15" s="258"/>
    </row>
    <row r="16" spans="2:4" ht="15.75" thickBot="1" x14ac:dyDescent="0.3">
      <c r="B16" s="325" t="s">
        <v>163</v>
      </c>
      <c r="C16" s="258"/>
      <c r="D16" s="258"/>
    </row>
    <row r="17" spans="2:4" ht="15.75" thickBot="1" x14ac:dyDescent="0.3">
      <c r="B17" s="324" t="s">
        <v>167</v>
      </c>
      <c r="C17" s="318"/>
      <c r="D17" s="318"/>
    </row>
    <row r="18" spans="2:4" ht="15.75" thickBot="1" x14ac:dyDescent="0.3">
      <c r="B18" s="324" t="s">
        <v>169</v>
      </c>
      <c r="C18" s="258"/>
      <c r="D18" s="258"/>
    </row>
    <row r="19" spans="2:4" ht="15.75" thickBot="1" x14ac:dyDescent="0.3">
      <c r="B19" s="325" t="s">
        <v>165</v>
      </c>
      <c r="C19" s="258"/>
      <c r="D19" s="258"/>
    </row>
    <row r="20" spans="2:4" ht="15.75" thickBot="1" x14ac:dyDescent="0.3">
      <c r="B20" s="325" t="s">
        <v>168</v>
      </c>
      <c r="C20" s="258"/>
      <c r="D20" s="258"/>
    </row>
    <row r="21" spans="2:4" ht="16.5" thickBot="1" x14ac:dyDescent="0.3">
      <c r="B21" s="326" t="s">
        <v>171</v>
      </c>
      <c r="C21" s="319"/>
      <c r="D21" s="319"/>
    </row>
    <row r="22" spans="2:4" ht="15.75" thickBot="1" x14ac:dyDescent="0.3">
      <c r="B22" s="324" t="s">
        <v>166</v>
      </c>
      <c r="C22" s="320"/>
      <c r="D22" s="320"/>
    </row>
    <row r="23" spans="2:4" ht="15.75" thickBot="1" x14ac:dyDescent="0.3">
      <c r="B23" s="327" t="s">
        <v>172</v>
      </c>
      <c r="C23" s="321"/>
      <c r="D23" s="321"/>
    </row>
    <row r="24" spans="2:4" ht="16.5" thickBot="1" x14ac:dyDescent="0.3">
      <c r="B24" s="326" t="s">
        <v>173</v>
      </c>
      <c r="C24" s="319"/>
      <c r="D24" s="319"/>
    </row>
    <row r="25" spans="2:4" ht="15.75" thickBot="1" x14ac:dyDescent="0.3">
      <c r="B25" s="324" t="s">
        <v>166</v>
      </c>
      <c r="C25" s="320"/>
      <c r="D25" s="320"/>
    </row>
    <row r="26" spans="2:4" s="153" customFormat="1" ht="15.75" thickBot="1" x14ac:dyDescent="0.3">
      <c r="B26" s="327" t="s">
        <v>175</v>
      </c>
      <c r="C26" s="322"/>
      <c r="D26" s="322"/>
    </row>
    <row r="27" spans="2:4" ht="15.75" thickBot="1" x14ac:dyDescent="0.3">
      <c r="B27" s="324" t="s">
        <v>167</v>
      </c>
      <c r="C27" s="318"/>
      <c r="D27" s="318"/>
    </row>
    <row r="28" spans="2:4" ht="15.75" thickBot="1" x14ac:dyDescent="0.3">
      <c r="B28" s="327" t="s">
        <v>1640</v>
      </c>
      <c r="C28" s="258"/>
      <c r="D28" s="258"/>
    </row>
    <row r="29" spans="2:4" ht="16.5" thickBot="1" x14ac:dyDescent="0.3">
      <c r="B29" s="326" t="s">
        <v>176</v>
      </c>
      <c r="C29" s="319"/>
      <c r="D29" s="319"/>
    </row>
    <row r="30" spans="2:4" ht="15.75" thickBot="1" x14ac:dyDescent="0.3">
      <c r="B30" s="324" t="s">
        <v>166</v>
      </c>
      <c r="C30" s="320"/>
      <c r="D30" s="320"/>
    </row>
    <row r="31" spans="2:4" ht="15.75" thickBot="1" x14ac:dyDescent="0.3">
      <c r="B31" s="327" t="s">
        <v>177</v>
      </c>
      <c r="C31" s="322"/>
      <c r="D31" s="322"/>
    </row>
    <row r="32" spans="2:4" ht="16.5" thickBot="1" x14ac:dyDescent="0.3">
      <c r="B32" s="326" t="s">
        <v>179</v>
      </c>
      <c r="C32" s="319"/>
      <c r="D32" s="319"/>
    </row>
    <row r="33" spans="2:4" ht="15.75" thickBot="1" x14ac:dyDescent="0.3">
      <c r="B33" s="324" t="s">
        <v>166</v>
      </c>
      <c r="C33" s="320"/>
      <c r="D33" s="320"/>
    </row>
    <row r="34" spans="2:4" ht="15.75" thickBot="1" x14ac:dyDescent="0.3">
      <c r="B34" s="327" t="s">
        <v>180</v>
      </c>
      <c r="C34" s="322"/>
      <c r="D34" s="322"/>
    </row>
    <row r="35" spans="2:4" ht="16.5" thickBot="1" x14ac:dyDescent="0.3">
      <c r="B35" s="326" t="s">
        <v>178</v>
      </c>
      <c r="C35" s="319"/>
      <c r="D35" s="319"/>
    </row>
    <row r="36" spans="2:4" ht="15.75" thickBot="1" x14ac:dyDescent="0.3">
      <c r="B36" s="324" t="s">
        <v>166</v>
      </c>
      <c r="C36" s="320"/>
      <c r="D36" s="320"/>
    </row>
    <row r="37" spans="2:4" ht="15.75" thickBot="1" x14ac:dyDescent="0.3">
      <c r="B37" s="327" t="s">
        <v>254</v>
      </c>
      <c r="C37" s="257"/>
      <c r="D37" s="257"/>
    </row>
    <row r="38" spans="2:4" ht="15.75" thickBot="1" x14ac:dyDescent="0.3">
      <c r="B38" s="324" t="s">
        <v>167</v>
      </c>
      <c r="C38" s="318"/>
      <c r="D38" s="318"/>
    </row>
    <row r="39" spans="2:4" ht="15.75" thickBot="1" x14ac:dyDescent="0.3">
      <c r="B39" s="327" t="s">
        <v>181</v>
      </c>
      <c r="C39" s="193"/>
      <c r="D39" s="193"/>
    </row>
    <row r="40" spans="2:4" ht="16.5" thickBot="1" x14ac:dyDescent="0.3">
      <c r="B40" s="326" t="s">
        <v>1652</v>
      </c>
    </row>
    <row r="41" spans="2:4" ht="15.75" thickBot="1" x14ac:dyDescent="0.3">
      <c r="B41" s="324" t="s">
        <v>1626</v>
      </c>
    </row>
    <row r="42" spans="2:4" x14ac:dyDescent="0.25">
      <c r="B42" s="331" t="s">
        <v>1633</v>
      </c>
    </row>
    <row r="43" spans="2:4" x14ac:dyDescent="0.25">
      <c r="B43" s="327" t="s">
        <v>1634</v>
      </c>
    </row>
    <row r="44" spans="2:4" ht="30" x14ac:dyDescent="0.25">
      <c r="B44" s="327" t="s">
        <v>1635</v>
      </c>
    </row>
    <row r="45" spans="2:4" x14ac:dyDescent="0.25">
      <c r="B45" s="327" t="s">
        <v>1627</v>
      </c>
    </row>
    <row r="46" spans="2:4" ht="15.75" thickBot="1" x14ac:dyDescent="0.3">
      <c r="B46" s="332" t="s">
        <v>1637</v>
      </c>
    </row>
    <row r="47" spans="2:4" ht="15.75" thickBot="1" x14ac:dyDescent="0.3">
      <c r="B47" s="324" t="s">
        <v>1628</v>
      </c>
    </row>
    <row r="48" spans="2:4" x14ac:dyDescent="0.25">
      <c r="B48" s="331" t="s">
        <v>1629</v>
      </c>
    </row>
    <row r="49" spans="2:2" ht="15.75" thickBot="1" x14ac:dyDescent="0.3">
      <c r="B49" s="332" t="s">
        <v>1630</v>
      </c>
    </row>
    <row r="50" spans="2:2" ht="15.75" thickBot="1" x14ac:dyDescent="0.3">
      <c r="B50" s="324" t="s">
        <v>1631</v>
      </c>
    </row>
    <row r="51" spans="2:2" x14ac:dyDescent="0.25">
      <c r="B51" s="331" t="s">
        <v>1632</v>
      </c>
    </row>
    <row r="52" spans="2:2" x14ac:dyDescent="0.25">
      <c r="B52" s="327" t="s">
        <v>1638</v>
      </c>
    </row>
    <row r="53" spans="2:2" x14ac:dyDescent="0.25">
      <c r="B53" s="327" t="s">
        <v>1636</v>
      </c>
    </row>
    <row r="54" spans="2:2" ht="15.75" thickBot="1" x14ac:dyDescent="0.3">
      <c r="B54" s="332" t="s">
        <v>1639</v>
      </c>
    </row>
    <row r="55" spans="2:2" ht="16.5" thickBot="1" x14ac:dyDescent="0.3">
      <c r="B55" s="326" t="s">
        <v>1660</v>
      </c>
    </row>
    <row r="56" spans="2:2" ht="15.75" thickBot="1" x14ac:dyDescent="0.3">
      <c r="B56" s="324" t="s">
        <v>166</v>
      </c>
    </row>
    <row r="57" spans="2:2" x14ac:dyDescent="0.25">
      <c r="B57" s="331" t="s">
        <v>1661</v>
      </c>
    </row>
    <row r="58" spans="2:2" x14ac:dyDescent="0.25">
      <c r="B58" s="327" t="s">
        <v>1671</v>
      </c>
    </row>
    <row r="59" spans="2:2" ht="15.75" thickBot="1" x14ac:dyDescent="0.3">
      <c r="B59" s="332" t="s">
        <v>1672</v>
      </c>
    </row>
    <row r="60" spans="2:2" ht="15.75" thickBot="1" x14ac:dyDescent="0.3">
      <c r="B60" s="352" t="s">
        <v>1631</v>
      </c>
    </row>
    <row r="61" spans="2:2" x14ac:dyDescent="0.25">
      <c r="B61" s="353" t="s">
        <v>1670</v>
      </c>
    </row>
    <row r="62" spans="2:2" ht="15.75" thickBot="1" x14ac:dyDescent="0.3">
      <c r="B62" s="332" t="s">
        <v>1663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G61"/>
  <sheetViews>
    <sheetView topLeftCell="A7" workbookViewId="0">
      <selection activeCell="J14" sqref="J14"/>
    </sheetView>
  </sheetViews>
  <sheetFormatPr defaultRowHeight="15" x14ac:dyDescent="0.25"/>
  <cols>
    <col min="1" max="1" width="0.85546875" customWidth="1"/>
    <col min="2" max="2" width="6" customWidth="1"/>
    <col min="3" max="3" width="4.7109375" customWidth="1"/>
    <col min="4" max="7" width="4.7109375" style="11" customWidth="1"/>
    <col min="8" max="8" width="6.7109375" style="11" customWidth="1"/>
    <col min="9" max="9" width="5.7109375" style="11" customWidth="1"/>
    <col min="10" max="10" width="4.42578125" style="11" customWidth="1"/>
    <col min="11" max="11" width="0.85546875" style="11" customWidth="1"/>
    <col min="12" max="12" width="0.85546875" customWidth="1"/>
    <col min="13" max="13" width="6" customWidth="1"/>
    <col min="14" max="14" width="4.7109375" customWidth="1"/>
    <col min="15" max="18" width="4.7109375" style="11" customWidth="1"/>
    <col min="19" max="19" width="6.7109375" style="11" customWidth="1"/>
    <col min="20" max="20" width="5.7109375" style="11" customWidth="1"/>
    <col min="21" max="21" width="4.42578125" style="11" customWidth="1"/>
    <col min="22" max="22" width="0.85546875" style="11" customWidth="1"/>
    <col min="23" max="23" width="0.85546875" customWidth="1"/>
    <col min="24" max="24" width="6" customWidth="1"/>
    <col min="25" max="25" width="4.7109375" customWidth="1"/>
    <col min="26" max="29" width="4.7109375" style="11" customWidth="1"/>
    <col min="30" max="30" width="6.7109375" style="11" customWidth="1"/>
    <col min="31" max="31" width="5.7109375" style="11" customWidth="1"/>
    <col min="32" max="32" width="4.42578125" style="11" customWidth="1"/>
    <col min="33" max="33" width="0.85546875" style="11" customWidth="1"/>
  </cols>
  <sheetData>
    <row r="1" spans="1:33" ht="5.0999999999999996" customHeight="1" x14ac:dyDescent="0.25">
      <c r="A1" s="115"/>
      <c r="B1" s="116"/>
      <c r="C1" s="116"/>
      <c r="D1" s="116"/>
      <c r="E1" s="116"/>
      <c r="F1" s="116"/>
      <c r="G1" s="116"/>
      <c r="H1" s="116"/>
      <c r="I1" s="116"/>
      <c r="J1" s="116"/>
      <c r="K1" s="117"/>
      <c r="L1" s="115"/>
      <c r="M1" s="116"/>
      <c r="N1" s="116"/>
      <c r="O1" s="116"/>
      <c r="P1" s="116"/>
      <c r="Q1" s="116"/>
      <c r="R1" s="116"/>
      <c r="S1" s="116"/>
      <c r="T1" s="116"/>
      <c r="U1" s="116"/>
      <c r="V1" s="117"/>
      <c r="W1" s="115"/>
      <c r="X1" s="116"/>
      <c r="Y1" s="116"/>
      <c r="Z1" s="116"/>
      <c r="AA1" s="116"/>
      <c r="AB1" s="116"/>
      <c r="AC1" s="116"/>
      <c r="AD1" s="116"/>
      <c r="AE1" s="116"/>
      <c r="AF1" s="116"/>
      <c r="AG1" s="117"/>
    </row>
    <row r="2" spans="1:33" x14ac:dyDescent="0.25">
      <c r="A2" s="118"/>
      <c r="B2" s="430" t="str">
        <f>IF('Army 1'!$D$2&lt;&gt;0,'Army 1'!$D$2," ")</f>
        <v xml:space="preserve"> </v>
      </c>
      <c r="C2" s="405"/>
      <c r="D2" s="405"/>
      <c r="E2" s="405"/>
      <c r="F2" s="405"/>
      <c r="G2" s="405"/>
      <c r="H2" s="405"/>
      <c r="I2" s="69" t="s">
        <v>187</v>
      </c>
      <c r="J2" s="112" t="str">
        <f>IF('Army 1'!$L$2&lt;&gt;0,'Army 1'!$L$2," ")</f>
        <v xml:space="preserve"> </v>
      </c>
      <c r="K2" s="119">
        <f>'Army 1'!L2</f>
        <v>0</v>
      </c>
      <c r="L2" s="118"/>
      <c r="M2" s="430" t="str">
        <f>IF('Army 2'!$D$2&lt;&gt;0,'Army 2'!$D$2," ")</f>
        <v xml:space="preserve"> </v>
      </c>
      <c r="N2" s="405"/>
      <c r="O2" s="405"/>
      <c r="P2" s="405"/>
      <c r="Q2" s="405"/>
      <c r="R2" s="405"/>
      <c r="S2" s="405"/>
      <c r="T2" s="69" t="s">
        <v>187</v>
      </c>
      <c r="U2" s="112" t="str">
        <f>IF('Army 2'!$L$2&lt;&gt;0,'Army 2'!$L$2," ")</f>
        <v xml:space="preserve"> </v>
      </c>
      <c r="V2" s="119">
        <f>'Army 2'!W2</f>
        <v>0</v>
      </c>
      <c r="W2" s="118"/>
      <c r="X2" s="430" t="str">
        <f>IF('Army 3'!$D$2&lt;&gt;0,'Army 3'!$D$2," ")</f>
        <v xml:space="preserve"> </v>
      </c>
      <c r="Y2" s="405"/>
      <c r="Z2" s="405"/>
      <c r="AA2" s="405"/>
      <c r="AB2" s="405"/>
      <c r="AC2" s="405"/>
      <c r="AD2" s="405"/>
      <c r="AE2" s="69" t="s">
        <v>187</v>
      </c>
      <c r="AF2" s="112" t="str">
        <f>IF('Army 3'!$L$2&lt;&gt;0,'Army 3'!$L$2," ")</f>
        <v xml:space="preserve"> </v>
      </c>
      <c r="AG2" s="119">
        <f>'Army 3'!AH2</f>
        <v>0</v>
      </c>
    </row>
    <row r="3" spans="1:33" x14ac:dyDescent="0.25">
      <c r="A3" s="120"/>
      <c r="B3" s="443" t="str">
        <f>IF('Army 1'!$D$4&lt;&gt;0,'Army 1'!$D$4," ")</f>
        <v xml:space="preserve"> </v>
      </c>
      <c r="C3" s="443"/>
      <c r="D3" s="444" t="s">
        <v>270</v>
      </c>
      <c r="E3" s="444"/>
      <c r="F3" s="442" t="str">
        <f>IF('Army 1'!$D$25&lt;&gt;0,'Army 1'!$D$25," ")</f>
        <v xml:space="preserve"> </v>
      </c>
      <c r="G3" s="443"/>
      <c r="H3" s="443"/>
      <c r="I3" s="443"/>
      <c r="J3" s="443"/>
      <c r="K3" s="121"/>
      <c r="L3" s="120"/>
      <c r="M3" s="443" t="str">
        <f>IF('Army 2'!$D$4&lt;&gt;0,'Army 2'!$D$4," ")</f>
        <v xml:space="preserve"> </v>
      </c>
      <c r="N3" s="443"/>
      <c r="O3" s="444" t="s">
        <v>270</v>
      </c>
      <c r="P3" s="444"/>
      <c r="Q3" s="442" t="str">
        <f>IF('Army 2'!$D$25&lt;&gt;0,'Army 2'!$D$25," ")</f>
        <v xml:space="preserve"> </v>
      </c>
      <c r="R3" s="443"/>
      <c r="S3" s="443"/>
      <c r="T3" s="443"/>
      <c r="U3" s="443"/>
      <c r="V3" s="121"/>
      <c r="W3" s="120"/>
      <c r="X3" s="443" t="str">
        <f>IF('Army 3'!$D$4&lt;&gt;0,'Army 3'!$D$4," ")</f>
        <v xml:space="preserve"> </v>
      </c>
      <c r="Y3" s="443"/>
      <c r="Z3" s="444" t="s">
        <v>270</v>
      </c>
      <c r="AA3" s="444"/>
      <c r="AB3" s="442" t="str">
        <f>IF('Army 3'!$D$25&lt;&gt;0,'Army 3'!$D$25," ")</f>
        <v xml:space="preserve"> </v>
      </c>
      <c r="AC3" s="443"/>
      <c r="AD3" s="443"/>
      <c r="AE3" s="443"/>
      <c r="AF3" s="443"/>
      <c r="AG3" s="121"/>
    </row>
    <row r="4" spans="1:33" x14ac:dyDescent="0.25">
      <c r="A4" s="120"/>
      <c r="B4" s="440" t="s">
        <v>271</v>
      </c>
      <c r="C4" s="441"/>
      <c r="D4" s="441"/>
      <c r="E4" s="441"/>
      <c r="F4" s="441"/>
      <c r="G4" s="441"/>
      <c r="H4" s="441"/>
      <c r="I4" s="441"/>
      <c r="J4" s="441"/>
      <c r="K4" s="122"/>
      <c r="L4" s="120"/>
      <c r="M4" s="440" t="s">
        <v>271</v>
      </c>
      <c r="N4" s="441"/>
      <c r="O4" s="441"/>
      <c r="P4" s="441"/>
      <c r="Q4" s="441"/>
      <c r="R4" s="441"/>
      <c r="S4" s="441"/>
      <c r="T4" s="441"/>
      <c r="U4" s="441"/>
      <c r="V4" s="122"/>
      <c r="W4" s="120"/>
      <c r="X4" s="440" t="s">
        <v>271</v>
      </c>
      <c r="Y4" s="441"/>
      <c r="Z4" s="441"/>
      <c r="AA4" s="441"/>
      <c r="AB4" s="441"/>
      <c r="AC4" s="441"/>
      <c r="AD4" s="441"/>
      <c r="AE4" s="441"/>
      <c r="AF4" s="441"/>
      <c r="AG4" s="122"/>
    </row>
    <row r="5" spans="1:33" ht="5.0999999999999996" customHeight="1" x14ac:dyDescent="0.25">
      <c r="A5" s="120"/>
      <c r="B5" s="113"/>
      <c r="C5" s="113"/>
      <c r="D5" s="16"/>
      <c r="E5" s="16"/>
      <c r="F5" s="16"/>
      <c r="G5" s="16"/>
      <c r="H5" s="16"/>
      <c r="I5" s="16"/>
      <c r="J5" s="16"/>
      <c r="K5" s="122"/>
      <c r="L5" s="120"/>
      <c r="M5" s="113"/>
      <c r="N5" s="113"/>
      <c r="O5" s="16"/>
      <c r="P5" s="16"/>
      <c r="Q5" s="16"/>
      <c r="R5" s="16"/>
      <c r="S5" s="16"/>
      <c r="T5" s="16"/>
      <c r="U5" s="16"/>
      <c r="V5" s="122"/>
      <c r="W5" s="120"/>
      <c r="X5" s="113"/>
      <c r="Y5" s="113"/>
      <c r="Z5" s="16"/>
      <c r="AA5" s="16"/>
      <c r="AB5" s="16"/>
      <c r="AC5" s="16"/>
      <c r="AD5" s="16"/>
      <c r="AE5" s="16"/>
      <c r="AF5" s="16"/>
      <c r="AG5" s="122"/>
    </row>
    <row r="6" spans="1:33" x14ac:dyDescent="0.25">
      <c r="A6" s="120"/>
      <c r="B6" s="17" t="s">
        <v>275</v>
      </c>
      <c r="C6" s="96" t="str">
        <f>IF('Army 1'!$D$9&lt;&gt;0,'Army 1'!$D$9," ")</f>
        <v xml:space="preserve"> </v>
      </c>
      <c r="D6" s="17" t="s">
        <v>272</v>
      </c>
      <c r="E6" s="96" t="str">
        <f>IF('Army 1'!$D$2&lt;&gt;0,'Army 1'!$D$13," ")</f>
        <v xml:space="preserve"> </v>
      </c>
      <c r="F6" s="16" t="s">
        <v>273</v>
      </c>
      <c r="G6" s="114" t="str">
        <f>IF('Army 1'!$D$11&lt;&gt;0,'Army 1'!$D$11," ")</f>
        <v xml:space="preserve"> </v>
      </c>
      <c r="H6" s="431" t="str">
        <f>IF(OR('Army 1'!$F$17="Ranged Weapons",'Army 1'!$F$19="Ranged Weapons",'Army 1'!$F$21="Ranged Weapons",'Army 1'!$F$23="Ranged Weapons", 'Army 1'!$B$31="Breath Weapon",'Army 1'!$B$33="Breath Weapon",'Army 1'!$B$35="Breath Weapon",'Army 1'!$B$37="Breath Weapon",'Army 1'!$B$39="Breath Weapon",'Army 1'!$B$31="Rock throwing",'Army 1'!$B$33="Rock throwing",'Army 1'!$B$35="Rock throwing",'Army 1'!$B$37="Rock throwing",'Army 1'!$B$39="Rock throwing",'Army 1'!$B$31="Spellcasting",'Army 1'!$B$33="Spellcasting",'Army 1'!$B$35="Spellcasting",'Army 1'!$B$37="Spellcasting",'Army 1'!$B$39="Spellcasting")=TRUE,", ranged"," ")</f>
        <v xml:space="preserve"> </v>
      </c>
      <c r="I6" s="405"/>
      <c r="J6" s="405"/>
      <c r="K6" s="123"/>
      <c r="L6" s="120"/>
      <c r="M6" s="17" t="s">
        <v>275</v>
      </c>
      <c r="N6" s="96" t="str">
        <f>IF('Army 2'!$D$9&lt;&gt;0,'Army 2'!$D$9," ")</f>
        <v xml:space="preserve"> </v>
      </c>
      <c r="O6" s="17" t="s">
        <v>272</v>
      </c>
      <c r="P6" s="96" t="str">
        <f>IF('Army 2'!$D$2&lt;&gt;0,'Army 2'!$D$13," ")</f>
        <v xml:space="preserve"> </v>
      </c>
      <c r="Q6" s="16" t="s">
        <v>273</v>
      </c>
      <c r="R6" s="114" t="str">
        <f>IF('Army 2'!$D$11&lt;&gt;0,'Army 2'!$D$11," ")</f>
        <v xml:space="preserve"> </v>
      </c>
      <c r="S6" s="431" t="str">
        <f>IF(OR('Army 2'!$F$17="Ranged Weapons",'Army 2'!$F$19="Ranged Weapons",'Army 2'!$F$21="Ranged Weapons",'Army 2'!$F$23="Ranged Weapons", 'Army 2'!$B$31="Breath Weapon",'Army 2'!$B$33="Breath Weapon",'Army 2'!$B$35="Breath Weapon",'Army 2'!$B$37="Breath Weapon",'Army 2'!$B$39="Breath Weapon",'Army 2'!$B$31="Rock throwing",'Army 2'!$B$33="Rock throwing",'Army 2'!$B$35="Rock throwing",'Army 2'!$B$37="Rock throwing",'Army 2'!$B$39="Rock throwing",'Army 2'!$B$31="Spellcasting",'Army 2'!$B$33="Spellcasting",'Army 2'!$B$35="Spellcasting",'Army 2'!$B$37="Spellcasting",'Army 2'!$B$39="Spellcasting")=TRUE,", ranged"," ")</f>
        <v xml:space="preserve"> </v>
      </c>
      <c r="T6" s="405"/>
      <c r="U6" s="405"/>
      <c r="V6" s="123"/>
      <c r="W6" s="120"/>
      <c r="X6" s="17" t="s">
        <v>275</v>
      </c>
      <c r="Y6" s="96" t="str">
        <f>IF('Army 3'!$D$9&lt;&gt;0,'Army 3'!$D$9," ")</f>
        <v xml:space="preserve"> </v>
      </c>
      <c r="Z6" s="17" t="s">
        <v>272</v>
      </c>
      <c r="AA6" s="96" t="str">
        <f>IF('Army 3'!$D$2&lt;&gt;0,'Army 3'!$D$13," ")</f>
        <v xml:space="preserve"> </v>
      </c>
      <c r="AB6" s="16" t="s">
        <v>273</v>
      </c>
      <c r="AC6" s="114" t="str">
        <f>IF('Army 3'!$D$11&lt;&gt;0,'Army 3'!$D$11," ")</f>
        <v xml:space="preserve"> </v>
      </c>
      <c r="AD6" s="431" t="str">
        <f>IF(OR('Army 3'!$F$17="Ranged Weapons",'Army 3'!$F$19="Ranged Weapons",'Army 3'!$F$21="Ranged Weapons",'Army 3'!$F$23="Ranged Weapons", 'Army 3'!$B$31="Breath Weapon",'Army 3'!$B$33="Breath Weapon",'Army 3'!$B$35="Breath Weapon",'Army 3'!$B$37="Breath Weapon",'Army 3'!$B$39="Breath Weapon",'Army 3'!$B$31="Rock throwing",'Army 3'!$B$33="Rock throwing",'Army 3'!$B$35="Rock throwing",'Army 3'!$B$37="Rock throwing",'Army 3'!$B$39="Rock throwing",'Army 3'!$B$31="Spellcasting",'Army 3'!$B$33="Spellcasting",'Army 3'!$B$35="Spellcasting",'Army 3'!$B$37="Spellcasting",'Army 3'!$B$39="Spellcasting")=TRUE,", ranged"," ")</f>
        <v xml:space="preserve"> </v>
      </c>
      <c r="AE6" s="405"/>
      <c r="AF6" s="405"/>
      <c r="AG6" s="123"/>
    </row>
    <row r="7" spans="1:33" x14ac:dyDescent="0.25">
      <c r="A7" s="120"/>
      <c r="B7" s="17" t="s">
        <v>186</v>
      </c>
      <c r="C7" s="5"/>
      <c r="D7" s="435" t="str">
        <f>IF('Army 1'!$B$17&lt;&gt;0,'Army 1'!$B$17," ")</f>
        <v xml:space="preserve"> </v>
      </c>
      <c r="E7" s="435"/>
      <c r="F7" s="435"/>
      <c r="G7" s="435"/>
      <c r="H7" s="435"/>
      <c r="I7" s="435"/>
      <c r="J7" s="435"/>
      <c r="K7" s="124"/>
      <c r="L7" s="120"/>
      <c r="M7" s="17" t="s">
        <v>186</v>
      </c>
      <c r="N7" s="5"/>
      <c r="O7" s="435" t="str">
        <f>IF('Army 2'!$B$17&lt;&gt;0,'Army 2'!$B$17," ")</f>
        <v xml:space="preserve"> </v>
      </c>
      <c r="P7" s="435"/>
      <c r="Q7" s="435"/>
      <c r="R7" s="435"/>
      <c r="S7" s="435"/>
      <c r="T7" s="435"/>
      <c r="U7" s="435"/>
      <c r="V7" s="124"/>
      <c r="W7" s="120"/>
      <c r="X7" s="17" t="s">
        <v>186</v>
      </c>
      <c r="Y7" s="5"/>
      <c r="Z7" s="435" t="str">
        <f>IF('Army 3'!$B$17&lt;&gt;0,'Army 3'!$B$17," ")</f>
        <v xml:space="preserve"> </v>
      </c>
      <c r="AA7" s="435"/>
      <c r="AB7" s="435"/>
      <c r="AC7" s="435"/>
      <c r="AD7" s="435"/>
      <c r="AE7" s="435"/>
      <c r="AF7" s="435"/>
      <c r="AG7" s="124"/>
    </row>
    <row r="8" spans="1:33" x14ac:dyDescent="0.25">
      <c r="A8" s="120"/>
      <c r="B8" s="17" t="s">
        <v>56</v>
      </c>
      <c r="C8" s="5"/>
      <c r="D8" s="439" t="str">
        <f>IF('Army 1'!$F$17&lt;&gt;0,'Army 1'!$F$17," ")</f>
        <v xml:space="preserve"> </v>
      </c>
      <c r="E8" s="438"/>
      <c r="F8" s="438"/>
      <c r="G8" s="438"/>
      <c r="H8" s="438" t="str">
        <f>IF('Army 1'!$F$19&lt;&gt;0,'Army 1'!$F$19," ")</f>
        <v xml:space="preserve"> </v>
      </c>
      <c r="I8" s="438"/>
      <c r="J8" s="438"/>
      <c r="K8" s="124"/>
      <c r="L8" s="120"/>
      <c r="M8" s="17" t="s">
        <v>56</v>
      </c>
      <c r="N8" s="5"/>
      <c r="O8" s="439" t="str">
        <f>IF('Army 2'!$F$17&lt;&gt;0,'Army 2'!$F$17," ")</f>
        <v xml:space="preserve"> </v>
      </c>
      <c r="P8" s="438"/>
      <c r="Q8" s="438"/>
      <c r="R8" s="438"/>
      <c r="S8" s="438" t="str">
        <f>IF('Army 2'!$F$19&lt;&gt;0,'Army 2'!$F$19," ")</f>
        <v xml:space="preserve"> </v>
      </c>
      <c r="T8" s="438"/>
      <c r="U8" s="438"/>
      <c r="V8" s="124"/>
      <c r="W8" s="120"/>
      <c r="X8" s="17" t="s">
        <v>56</v>
      </c>
      <c r="Y8" s="5"/>
      <c r="Z8" s="439" t="str">
        <f>IF('Army 3'!$F$17&lt;&gt;0,'Army 3'!$F$17," ")</f>
        <v xml:space="preserve"> </v>
      </c>
      <c r="AA8" s="438"/>
      <c r="AB8" s="438"/>
      <c r="AC8" s="438"/>
      <c r="AD8" s="438" t="str">
        <f>IF('Army 3'!$F$19&lt;&gt;0,'Army 3'!$F$19," ")</f>
        <v xml:space="preserve"> </v>
      </c>
      <c r="AE8" s="438"/>
      <c r="AF8" s="438"/>
      <c r="AG8" s="124"/>
    </row>
    <row r="9" spans="1:33" x14ac:dyDescent="0.25">
      <c r="A9" s="120"/>
      <c r="B9" s="438" t="str">
        <f>IF('Army 1'!$F$21&lt;&gt;0,'Army 1'!$F$21," ")</f>
        <v xml:space="preserve"> </v>
      </c>
      <c r="C9" s="438"/>
      <c r="D9" s="438"/>
      <c r="E9" s="438"/>
      <c r="F9" s="439" t="str">
        <f>IF('Army 1'!$F$23&lt;&gt;0,'Army 1'!$F$23," ")</f>
        <v xml:space="preserve"> </v>
      </c>
      <c r="G9" s="439"/>
      <c r="H9" s="439"/>
      <c r="I9" s="439"/>
      <c r="J9" s="439"/>
      <c r="K9" s="124"/>
      <c r="L9" s="120"/>
      <c r="M9" s="438" t="str">
        <f>IF('Army 2'!$F$21&lt;&gt;0,'Army 2'!$F$21," ")</f>
        <v xml:space="preserve"> </v>
      </c>
      <c r="N9" s="438"/>
      <c r="O9" s="438"/>
      <c r="P9" s="438"/>
      <c r="Q9" s="439" t="str">
        <f>IF('Army 2'!$F$23&lt;&gt;0,'Army 2'!$F$23," ")</f>
        <v xml:space="preserve"> </v>
      </c>
      <c r="R9" s="439"/>
      <c r="S9" s="439"/>
      <c r="T9" s="439"/>
      <c r="U9" s="439"/>
      <c r="V9" s="124"/>
      <c r="W9" s="120"/>
      <c r="X9" s="438" t="str">
        <f>IF('Army 3'!$F$21&lt;&gt;0,'Army 3'!$F$21," ")</f>
        <v xml:space="preserve"> </v>
      </c>
      <c r="Y9" s="438"/>
      <c r="Z9" s="438"/>
      <c r="AA9" s="438"/>
      <c r="AB9" s="439" t="str">
        <f>IF('Army 3'!$F$23&lt;&gt;0,'Army 3'!$F$23," ")</f>
        <v xml:space="preserve"> </v>
      </c>
      <c r="AC9" s="439"/>
      <c r="AD9" s="439"/>
      <c r="AE9" s="439"/>
      <c r="AF9" s="439"/>
      <c r="AG9" s="124"/>
    </row>
    <row r="10" spans="1:33" x14ac:dyDescent="0.25">
      <c r="A10" s="120"/>
      <c r="B10" s="17" t="s">
        <v>235</v>
      </c>
      <c r="C10" s="5"/>
      <c r="E10" s="435" t="str">
        <f>IF('Army 1'!$B$31&lt;&gt;0,'Army 1'!$B$31," ")</f>
        <v xml:space="preserve"> </v>
      </c>
      <c r="F10" s="435"/>
      <c r="G10" s="435"/>
      <c r="H10" s="435"/>
      <c r="I10" s="435"/>
      <c r="J10" s="435"/>
      <c r="K10" s="124"/>
      <c r="L10" s="120"/>
      <c r="M10" s="17" t="s">
        <v>235</v>
      </c>
      <c r="N10" s="5"/>
      <c r="P10" s="435" t="str">
        <f>IF('Army 2'!$B$31&lt;&gt;0,'Army 2'!$B$31," ")</f>
        <v xml:space="preserve"> </v>
      </c>
      <c r="Q10" s="435"/>
      <c r="R10" s="435"/>
      <c r="S10" s="435"/>
      <c r="T10" s="435"/>
      <c r="U10" s="435"/>
      <c r="V10" s="124"/>
      <c r="W10" s="120"/>
      <c r="X10" s="17" t="s">
        <v>235</v>
      </c>
      <c r="Y10" s="5"/>
      <c r="AA10" s="435" t="str">
        <f>IF('Army 3'!$B$31&lt;&gt;0,'Army 3'!$B$31," ")</f>
        <v xml:space="preserve"> </v>
      </c>
      <c r="AB10" s="435"/>
      <c r="AC10" s="435"/>
      <c r="AD10" s="435"/>
      <c r="AE10" s="435"/>
      <c r="AF10" s="435"/>
      <c r="AG10" s="124"/>
    </row>
    <row r="11" spans="1:33" x14ac:dyDescent="0.25">
      <c r="A11" s="120"/>
      <c r="B11" s="438" t="str">
        <f>IF('Army 1'!$B$33&lt;&gt;0,'Army 1'!$B$33," ")</f>
        <v xml:space="preserve"> </v>
      </c>
      <c r="C11" s="438"/>
      <c r="D11" s="438"/>
      <c r="E11" s="438"/>
      <c r="F11" s="438"/>
      <c r="G11" s="439" t="str">
        <f>IF('Army 1'!$B$35&lt;&gt;0,'Army 1'!$B$35," ")</f>
        <v xml:space="preserve"> </v>
      </c>
      <c r="H11" s="439"/>
      <c r="I11" s="439"/>
      <c r="J11" s="439"/>
      <c r="K11" s="124"/>
      <c r="L11" s="120"/>
      <c r="M11" s="438" t="str">
        <f>IF('Army 2'!$B$33&lt;&gt;0,'Army 2'!$B$33," ")</f>
        <v xml:space="preserve"> </v>
      </c>
      <c r="N11" s="438"/>
      <c r="O11" s="438"/>
      <c r="P11" s="438"/>
      <c r="Q11" s="438"/>
      <c r="R11" s="439" t="str">
        <f>IF('Army 2'!$B$35&lt;&gt;0,'Army 2'!$B$35," ")</f>
        <v xml:space="preserve"> </v>
      </c>
      <c r="S11" s="439"/>
      <c r="T11" s="439"/>
      <c r="U11" s="439"/>
      <c r="V11" s="124"/>
      <c r="W11" s="120"/>
      <c r="X11" s="438" t="str">
        <f>IF('Army 3'!$B$33&lt;&gt;0,'Army 3'!$B$33," ")</f>
        <v xml:space="preserve"> </v>
      </c>
      <c r="Y11" s="438"/>
      <c r="Z11" s="438"/>
      <c r="AA11" s="438"/>
      <c r="AB11" s="438"/>
      <c r="AC11" s="439" t="str">
        <f>IF('Army 3'!$B$35&lt;&gt;0,'Army 3'!$B$35," ")</f>
        <v xml:space="preserve"> </v>
      </c>
      <c r="AD11" s="439"/>
      <c r="AE11" s="439"/>
      <c r="AF11" s="439"/>
      <c r="AG11" s="124"/>
    </row>
    <row r="12" spans="1:33" x14ac:dyDescent="0.25">
      <c r="A12" s="120"/>
      <c r="B12" s="436" t="str">
        <f>IF('Army 1'!$B$37&lt;&gt;0,'Army 1'!$B$37," ")</f>
        <v xml:space="preserve"> </v>
      </c>
      <c r="C12" s="436"/>
      <c r="D12" s="436"/>
      <c r="E12" s="436"/>
      <c r="F12" s="436"/>
      <c r="G12" s="437" t="str">
        <f>IF('Army 1'!$B$39&lt;&gt;0,'Army 1'!$B$39," ")</f>
        <v xml:space="preserve"> </v>
      </c>
      <c r="H12" s="437"/>
      <c r="I12" s="437"/>
      <c r="J12" s="437"/>
      <c r="K12" s="124"/>
      <c r="L12" s="120"/>
      <c r="M12" s="436" t="str">
        <f>IF('Army 2'!$B$37&lt;&gt;0,'Army 2'!$B$37," ")</f>
        <v xml:space="preserve"> </v>
      </c>
      <c r="N12" s="436"/>
      <c r="O12" s="436"/>
      <c r="P12" s="436"/>
      <c r="Q12" s="436"/>
      <c r="R12" s="437" t="str">
        <f>IF('Army 2'!$B$39&lt;&gt;0,'Army 2'!$B$39," ")</f>
        <v xml:space="preserve"> </v>
      </c>
      <c r="S12" s="437"/>
      <c r="T12" s="437"/>
      <c r="U12" s="437"/>
      <c r="V12" s="124"/>
      <c r="W12" s="120"/>
      <c r="X12" s="436" t="str">
        <f>IF('Army 3'!$B$37&lt;&gt;0,'Army 3'!$B$37," ")</f>
        <v xml:space="preserve"> </v>
      </c>
      <c r="Y12" s="436"/>
      <c r="Z12" s="436"/>
      <c r="AA12" s="436"/>
      <c r="AB12" s="436"/>
      <c r="AC12" s="437" t="str">
        <f>IF('Army 3'!$B$39&lt;&gt;0,'Army 3'!$B$39," ")</f>
        <v xml:space="preserve"> </v>
      </c>
      <c r="AD12" s="437"/>
      <c r="AE12" s="437"/>
      <c r="AF12" s="437"/>
      <c r="AG12" s="124"/>
    </row>
    <row r="13" spans="1:33" x14ac:dyDescent="0.25">
      <c r="A13" s="120"/>
      <c r="B13" s="440" t="s">
        <v>274</v>
      </c>
      <c r="C13" s="441"/>
      <c r="D13" s="441"/>
      <c r="E13" s="441"/>
      <c r="F13" s="441"/>
      <c r="G13" s="441"/>
      <c r="H13" s="441"/>
      <c r="I13" s="441"/>
      <c r="J13" s="441"/>
      <c r="K13" s="122"/>
      <c r="L13" s="120"/>
      <c r="M13" s="440" t="s">
        <v>274</v>
      </c>
      <c r="N13" s="441"/>
      <c r="O13" s="441"/>
      <c r="P13" s="441"/>
      <c r="Q13" s="441"/>
      <c r="R13" s="441"/>
      <c r="S13" s="441"/>
      <c r="T13" s="441"/>
      <c r="U13" s="441"/>
      <c r="V13" s="122"/>
      <c r="W13" s="120"/>
      <c r="X13" s="440" t="s">
        <v>274</v>
      </c>
      <c r="Y13" s="441"/>
      <c r="Z13" s="441"/>
      <c r="AA13" s="441"/>
      <c r="AB13" s="441"/>
      <c r="AC13" s="441"/>
      <c r="AD13" s="441"/>
      <c r="AE13" s="441"/>
      <c r="AF13" s="441"/>
      <c r="AG13" s="122"/>
    </row>
    <row r="14" spans="1:33" x14ac:dyDescent="0.25">
      <c r="A14" s="120"/>
      <c r="B14" s="17" t="s">
        <v>184</v>
      </c>
      <c r="C14" s="11" t="str">
        <f>IF('Army 1'!$J$9&lt;&gt;0,'Army 1'!$J$9," ")</f>
        <v xml:space="preserve"> </v>
      </c>
      <c r="E14" s="16" t="s">
        <v>188</v>
      </c>
      <c r="G14" s="107" t="str">
        <f>IF('Army 1'!$D$2&lt;&gt;0,('Army 1'!$J$13+'Army 1'!$L$39+'Army 1'!$P$57+'Army 1'!$P$72+'Army 1'!$P$91)," ")</f>
        <v xml:space="preserve"> </v>
      </c>
      <c r="H14" s="17" t="s">
        <v>63</v>
      </c>
      <c r="J14" s="21" t="str">
        <f>IF('Army 1'!$J$11&lt;&gt;0,'Army 1'!$J$11," ")</f>
        <v xml:space="preserve"> </v>
      </c>
      <c r="K14" s="124"/>
      <c r="L14" s="120"/>
      <c r="M14" s="17" t="s">
        <v>184</v>
      </c>
      <c r="N14" s="11" t="str">
        <f>IF('Army 2'!$J$9&lt;&gt;0,'Army 2'!$J$9," ")</f>
        <v xml:space="preserve"> </v>
      </c>
      <c r="P14" s="16" t="s">
        <v>188</v>
      </c>
      <c r="R14" s="107" t="str">
        <f>IF('Army 2'!$D$2&lt;&gt;0,('Army 2'!$J$13+'Army 2'!$L$39+'Army 2'!$P$57+'Army 2'!$P$72+'Army 2'!$P$91)," ")</f>
        <v xml:space="preserve"> </v>
      </c>
      <c r="S14" s="17" t="s">
        <v>63</v>
      </c>
      <c r="U14" s="21" t="str">
        <f>IF('Army 2'!$J$11&lt;&gt;0,'Army 2'!$J$11," ")</f>
        <v xml:space="preserve"> </v>
      </c>
      <c r="V14" s="124"/>
      <c r="W14" s="120"/>
      <c r="X14" s="17" t="s">
        <v>184</v>
      </c>
      <c r="Y14" s="11" t="str">
        <f>IF('Army 3'!$J$9&lt;&gt;0,'Army 3'!$J$9," ")</f>
        <v xml:space="preserve"> </v>
      </c>
      <c r="AA14" s="16" t="s">
        <v>188</v>
      </c>
      <c r="AC14" s="107" t="str">
        <f>IF('Army 3'!$D$2&lt;&gt;0,('Army 3'!$J$13+'Army 3'!$L$39+'Army 3'!$P$57+'Army 3'!$P$72+'Army 3'!$P$91)," ")</f>
        <v xml:space="preserve"> </v>
      </c>
      <c r="AD14" s="17" t="s">
        <v>63</v>
      </c>
      <c r="AF14" s="21" t="str">
        <f>IF('Army 3'!$J$11&lt;&gt;0,'Army 3'!$J$11," ")</f>
        <v xml:space="preserve"> </v>
      </c>
      <c r="AG14" s="124"/>
    </row>
    <row r="15" spans="1:33" x14ac:dyDescent="0.25">
      <c r="A15" s="120"/>
      <c r="B15" s="17" t="s">
        <v>190</v>
      </c>
      <c r="C15" s="5"/>
      <c r="D15" s="431" t="str">
        <f>IF('Army 1'!$F$31&lt;&gt;0,'Army 1'!$F$31," ")</f>
        <v xml:space="preserve"> </v>
      </c>
      <c r="E15" s="431"/>
      <c r="F15" s="431"/>
      <c r="G15" s="431"/>
      <c r="H15" s="431"/>
      <c r="I15" s="16" t="s">
        <v>276</v>
      </c>
      <c r="J15" s="21" t="str">
        <f>IF('Army 1'!$L$39&lt;&gt;0,'Army 1'!$L$39," ")</f>
        <v xml:space="preserve"> </v>
      </c>
      <c r="K15" s="124"/>
      <c r="L15" s="120"/>
      <c r="M15" s="17" t="s">
        <v>190</v>
      </c>
      <c r="N15" s="5"/>
      <c r="O15" s="431" t="str">
        <f>IF('Army 2'!$F$31&lt;&gt;0,'Army 2'!$F$31," ")</f>
        <v xml:space="preserve"> </v>
      </c>
      <c r="P15" s="431"/>
      <c r="Q15" s="431"/>
      <c r="R15" s="431"/>
      <c r="S15" s="431"/>
      <c r="T15" s="16" t="s">
        <v>276</v>
      </c>
      <c r="U15" s="21" t="str">
        <f>IF('Army 2'!$L$39&lt;&gt;0,'Army 2'!$L$39," ")</f>
        <v xml:space="preserve"> </v>
      </c>
      <c r="V15" s="124"/>
      <c r="W15" s="120"/>
      <c r="X15" s="17" t="s">
        <v>190</v>
      </c>
      <c r="Y15" s="5"/>
      <c r="Z15" s="431" t="str">
        <f>IF('Army 3'!$F$31&lt;&gt;0,'Army 3'!$F$31," ")</f>
        <v xml:space="preserve"> </v>
      </c>
      <c r="AA15" s="431"/>
      <c r="AB15" s="431"/>
      <c r="AC15" s="431"/>
      <c r="AD15" s="431"/>
      <c r="AE15" s="16" t="s">
        <v>276</v>
      </c>
      <c r="AF15" s="21" t="str">
        <f>IF('Army 3'!$L$39&lt;&gt;0,'Army 3'!$L$39," ")</f>
        <v xml:space="preserve"> </v>
      </c>
      <c r="AG15" s="124"/>
    </row>
    <row r="16" spans="1:33" ht="5.0999999999999996" customHeight="1" x14ac:dyDescent="0.25">
      <c r="A16" s="125"/>
      <c r="B16" s="126"/>
      <c r="C16" s="126"/>
      <c r="D16" s="127"/>
      <c r="E16" s="127"/>
      <c r="F16" s="127"/>
      <c r="G16" s="127"/>
      <c r="H16" s="127"/>
      <c r="I16" s="127"/>
      <c r="J16" s="127"/>
      <c r="K16" s="128"/>
      <c r="L16" s="125"/>
      <c r="M16" s="126"/>
      <c r="N16" s="126"/>
      <c r="O16" s="127"/>
      <c r="P16" s="127"/>
      <c r="Q16" s="127"/>
      <c r="R16" s="127"/>
      <c r="S16" s="127"/>
      <c r="T16" s="127"/>
      <c r="U16" s="127"/>
      <c r="V16" s="128"/>
      <c r="W16" s="125"/>
      <c r="X16" s="126"/>
      <c r="Y16" s="126"/>
      <c r="Z16" s="127"/>
      <c r="AA16" s="127"/>
      <c r="AB16" s="127"/>
      <c r="AC16" s="127"/>
      <c r="AD16" s="127"/>
      <c r="AE16" s="127"/>
      <c r="AF16" s="127"/>
      <c r="AG16" s="128"/>
    </row>
    <row r="17" spans="1:33" ht="5.0999999999999996" customHeight="1" x14ac:dyDescent="0.25">
      <c r="A17" s="115"/>
      <c r="B17" s="116"/>
      <c r="C17" s="116"/>
      <c r="D17" s="116"/>
      <c r="E17" s="116"/>
      <c r="F17" s="116"/>
      <c r="G17" s="116"/>
      <c r="H17" s="116"/>
      <c r="I17" s="116"/>
      <c r="J17" s="116"/>
      <c r="K17" s="117"/>
      <c r="L17" s="115"/>
      <c r="M17" s="116"/>
      <c r="N17" s="116"/>
      <c r="O17" s="116"/>
      <c r="P17" s="116"/>
      <c r="Q17" s="116"/>
      <c r="R17" s="116"/>
      <c r="S17" s="116"/>
      <c r="T17" s="116"/>
      <c r="U17" s="116"/>
      <c r="V17" s="117"/>
      <c r="W17" s="115"/>
      <c r="X17" s="116"/>
      <c r="Y17" s="116"/>
      <c r="Z17" s="116"/>
      <c r="AA17" s="116"/>
      <c r="AB17" s="116"/>
      <c r="AC17" s="116"/>
      <c r="AD17" s="116"/>
      <c r="AE17" s="116"/>
      <c r="AF17" s="116"/>
      <c r="AG17" s="117"/>
    </row>
    <row r="18" spans="1:33" x14ac:dyDescent="0.25">
      <c r="A18" s="118"/>
      <c r="B18" s="430" t="str">
        <f>IF('Army 4'!$D$2&lt;&gt;0,'Army 4'!$D$2," ")</f>
        <v xml:space="preserve"> </v>
      </c>
      <c r="C18" s="405"/>
      <c r="D18" s="405"/>
      <c r="E18" s="405"/>
      <c r="F18" s="405"/>
      <c r="G18" s="405"/>
      <c r="H18" s="405"/>
      <c r="I18" s="69" t="s">
        <v>187</v>
      </c>
      <c r="J18" s="112" t="str">
        <f>IF('Army 4'!$L$2&lt;&gt;0,'Army 4'!$L$2," ")</f>
        <v xml:space="preserve"> </v>
      </c>
      <c r="K18" s="119">
        <f>'Army 4'!L18</f>
        <v>0</v>
      </c>
      <c r="L18" s="118"/>
      <c r="M18" s="430" t="str">
        <f>IF('Army 5'!$D$2&lt;&gt;0,'Army 5'!$D$2," ")</f>
        <v xml:space="preserve"> </v>
      </c>
      <c r="N18" s="405"/>
      <c r="O18" s="405"/>
      <c r="P18" s="405"/>
      <c r="Q18" s="405"/>
      <c r="R18" s="405"/>
      <c r="S18" s="405"/>
      <c r="T18" s="69" t="s">
        <v>187</v>
      </c>
      <c r="U18" s="112" t="str">
        <f>IF('Army 5'!$L$2&lt;&gt;0,'Army 5'!$L$2," ")</f>
        <v xml:space="preserve"> </v>
      </c>
      <c r="V18" s="119">
        <f>'Army 5'!W18</f>
        <v>0</v>
      </c>
      <c r="W18" s="118"/>
      <c r="X18" s="430" t="str">
        <f>IF('Army 6'!$D$2&lt;&gt;0,'Army 6'!$D$2," ")</f>
        <v xml:space="preserve"> </v>
      </c>
      <c r="Y18" s="405"/>
      <c r="Z18" s="405"/>
      <c r="AA18" s="405"/>
      <c r="AB18" s="405"/>
      <c r="AC18" s="405"/>
      <c r="AD18" s="405"/>
      <c r="AE18" s="69" t="s">
        <v>187</v>
      </c>
      <c r="AF18" s="112" t="str">
        <f>IF('Army 6'!$L$2&lt;&gt;0,'Army 6'!$L$2," ")</f>
        <v xml:space="preserve"> </v>
      </c>
      <c r="AG18" s="119">
        <f>'Army 6'!AH18</f>
        <v>0</v>
      </c>
    </row>
    <row r="19" spans="1:33" x14ac:dyDescent="0.25">
      <c r="A19" s="120"/>
      <c r="B19" s="443" t="str">
        <f>IF('Army 4'!$D$4&lt;&gt;0,'Army 4'!$D$4," ")</f>
        <v xml:space="preserve"> </v>
      </c>
      <c r="C19" s="443"/>
      <c r="D19" s="444" t="s">
        <v>270</v>
      </c>
      <c r="E19" s="444"/>
      <c r="F19" s="442" t="str">
        <f>IF('Army 4'!$D$25&lt;&gt;0,'Army 4'!$D$25," ")</f>
        <v xml:space="preserve"> </v>
      </c>
      <c r="G19" s="443"/>
      <c r="H19" s="443"/>
      <c r="I19" s="443"/>
      <c r="J19" s="443"/>
      <c r="K19" s="121"/>
      <c r="L19" s="120"/>
      <c r="M19" s="443" t="str">
        <f>IF('Army 5'!$D$4&lt;&gt;0,'Army 5'!$D$4," ")</f>
        <v xml:space="preserve"> </v>
      </c>
      <c r="N19" s="443"/>
      <c r="O19" s="444" t="s">
        <v>270</v>
      </c>
      <c r="P19" s="444"/>
      <c r="Q19" s="442" t="str">
        <f>IF('Army 5'!$D$25&lt;&gt;0,'Army 5'!$D$25," ")</f>
        <v xml:space="preserve"> </v>
      </c>
      <c r="R19" s="443"/>
      <c r="S19" s="443"/>
      <c r="T19" s="443"/>
      <c r="U19" s="443"/>
      <c r="V19" s="121"/>
      <c r="W19" s="120"/>
      <c r="X19" s="443" t="str">
        <f>IF('Army 6'!$D$4&lt;&gt;0,'Army 6'!$D$4," ")</f>
        <v xml:space="preserve"> </v>
      </c>
      <c r="Y19" s="443"/>
      <c r="Z19" s="444" t="s">
        <v>270</v>
      </c>
      <c r="AA19" s="444"/>
      <c r="AB19" s="442" t="str">
        <f>IF('Army 6'!$D$25&lt;&gt;0,'Army 6'!$D$25," ")</f>
        <v xml:space="preserve"> </v>
      </c>
      <c r="AC19" s="443"/>
      <c r="AD19" s="443"/>
      <c r="AE19" s="443"/>
      <c r="AF19" s="443"/>
      <c r="AG19" s="121"/>
    </row>
    <row r="20" spans="1:33" x14ac:dyDescent="0.25">
      <c r="A20" s="120"/>
      <c r="B20" s="440" t="s">
        <v>271</v>
      </c>
      <c r="C20" s="441"/>
      <c r="D20" s="441"/>
      <c r="E20" s="441"/>
      <c r="F20" s="441"/>
      <c r="G20" s="441"/>
      <c r="H20" s="441"/>
      <c r="I20" s="441"/>
      <c r="J20" s="441"/>
      <c r="K20" s="122"/>
      <c r="L20" s="120"/>
      <c r="M20" s="440" t="s">
        <v>271</v>
      </c>
      <c r="N20" s="441"/>
      <c r="O20" s="441"/>
      <c r="P20" s="441"/>
      <c r="Q20" s="441"/>
      <c r="R20" s="441"/>
      <c r="S20" s="441"/>
      <c r="T20" s="441"/>
      <c r="U20" s="441"/>
      <c r="V20" s="122"/>
      <c r="W20" s="120"/>
      <c r="X20" s="440" t="s">
        <v>271</v>
      </c>
      <c r="Y20" s="441"/>
      <c r="Z20" s="441"/>
      <c r="AA20" s="441"/>
      <c r="AB20" s="441"/>
      <c r="AC20" s="441"/>
      <c r="AD20" s="441"/>
      <c r="AE20" s="441"/>
      <c r="AF20" s="441"/>
      <c r="AG20" s="122"/>
    </row>
    <row r="21" spans="1:33" ht="5.0999999999999996" customHeight="1" x14ac:dyDescent="0.25">
      <c r="A21" s="120"/>
      <c r="B21" s="113"/>
      <c r="C21" s="113"/>
      <c r="D21" s="16"/>
      <c r="E21" s="16"/>
      <c r="F21" s="16"/>
      <c r="G21" s="16"/>
      <c r="H21" s="16"/>
      <c r="I21" s="16"/>
      <c r="J21" s="16"/>
      <c r="K21" s="122"/>
      <c r="L21" s="120"/>
      <c r="M21" s="113"/>
      <c r="N21" s="113"/>
      <c r="O21" s="16"/>
      <c r="P21" s="16"/>
      <c r="Q21" s="16"/>
      <c r="R21" s="16"/>
      <c r="S21" s="16"/>
      <c r="T21" s="16"/>
      <c r="U21" s="16"/>
      <c r="V21" s="122"/>
      <c r="W21" s="120"/>
      <c r="X21" s="113"/>
      <c r="Y21" s="113"/>
      <c r="Z21" s="16"/>
      <c r="AA21" s="16"/>
      <c r="AB21" s="16"/>
      <c r="AC21" s="16"/>
      <c r="AD21" s="16"/>
      <c r="AE21" s="16"/>
      <c r="AF21" s="16"/>
      <c r="AG21" s="122"/>
    </row>
    <row r="22" spans="1:33" x14ac:dyDescent="0.25">
      <c r="A22" s="120"/>
      <c r="B22" s="17" t="s">
        <v>275</v>
      </c>
      <c r="C22" s="96" t="str">
        <f>IF('Army 4'!$D$9&lt;&gt;0,'Army 4'!$D$9," ")</f>
        <v xml:space="preserve"> </v>
      </c>
      <c r="D22" s="17" t="s">
        <v>272</v>
      </c>
      <c r="E22" s="96" t="str">
        <f>IF('Army 4'!$D$2&lt;&gt;0,'Army 4'!$D$13," ")</f>
        <v xml:space="preserve"> </v>
      </c>
      <c r="F22" s="16" t="s">
        <v>273</v>
      </c>
      <c r="G22" s="114" t="str">
        <f>IF('Army 4'!$D$11&lt;&gt;0,'Army 4'!$D$11," ")</f>
        <v xml:space="preserve"> </v>
      </c>
      <c r="H22" s="431" t="str">
        <f>IF(OR('Army 4'!$F$17="Ranged Weapons",'Army 4'!$F$19="Ranged Weapons",'Army 4'!$F$21="Ranged Weapons",'Army 4'!$F$23="Ranged Weapons", 'Army 4'!$B$31="Breath Weapon",'Army 4'!$B$33="Breath Weapon",'Army 4'!$B$35="Breath Weapon",'Army 4'!$B$37="Breath Weapon",'Army 4'!$B$39="Breath Weapon",'Army 4'!$B$31="Rock throwing",'Army 4'!$B$33="Rock throwing",'Army 4'!$B$35="Rock throwing",'Army 4'!$B$37="Rock throwing",'Army 4'!$B$39="Rock throwing",'Army 4'!$B$31="Spellcasting",'Army 4'!$B$33="Spellcasting",'Army 4'!$B$35="Spellcasting",'Army 4'!$B$37="Spellcasting",'Army 4'!$B$39="Spellcasting")=TRUE,", ranged"," ")</f>
        <v xml:space="preserve"> </v>
      </c>
      <c r="I22" s="405"/>
      <c r="J22" s="405"/>
      <c r="K22" s="123"/>
      <c r="L22" s="120"/>
      <c r="M22" s="17" t="s">
        <v>275</v>
      </c>
      <c r="N22" s="96" t="str">
        <f>IF('Army 5'!$D$9&lt;&gt;0,'Army 5'!$D$9," ")</f>
        <v xml:space="preserve"> </v>
      </c>
      <c r="O22" s="17" t="s">
        <v>272</v>
      </c>
      <c r="P22" s="96" t="str">
        <f>IF('Army 5'!$D$2&lt;&gt;0,'Army 5'!$D$13," ")</f>
        <v xml:space="preserve"> </v>
      </c>
      <c r="Q22" s="16" t="s">
        <v>273</v>
      </c>
      <c r="R22" s="114" t="str">
        <f>IF('Army 5'!$D$11&lt;&gt;0,'Army 5'!$D$11," ")</f>
        <v xml:space="preserve"> </v>
      </c>
      <c r="S22" s="431" t="str">
        <f>IF(OR('Army 5'!$F$17="Ranged Weapons",'Army 5'!$F$19="Ranged Weapons",'Army 5'!$F$21="Ranged Weapons",'Army 5'!$F$23="Ranged Weapons", 'Army 5'!$B$31="Breath Weapon",'Army 5'!$B$33="Breath Weapon",'Army 5'!$B$35="Breath Weapon",'Army 5'!$B$37="Breath Weapon",'Army 5'!$B$39="Breath Weapon",'Army 5'!$B$31="Rock throwing",'Army 5'!$B$33="Rock throwing",'Army 5'!$B$35="Rock throwing",'Army 5'!$B$37="Rock throwing",'Army 5'!$B$39="Rock throwing",'Army 5'!$B$31="Spellcasting",'Army 5'!$B$33="Spellcasting",'Army 5'!$B$35="Spellcasting",'Army 5'!$B$37="Spellcasting",'Army 5'!$B$39="Spellcasting")=TRUE,", ranged"," ")</f>
        <v xml:space="preserve"> </v>
      </c>
      <c r="T22" s="405"/>
      <c r="U22" s="405"/>
      <c r="V22" s="123"/>
      <c r="W22" s="120"/>
      <c r="X22" s="17" t="s">
        <v>275</v>
      </c>
      <c r="Y22" s="96" t="str">
        <f>IF('Army 6'!$D$9&lt;&gt;0,'Army 6'!$D$9," ")</f>
        <v xml:space="preserve"> </v>
      </c>
      <c r="Z22" s="17" t="s">
        <v>272</v>
      </c>
      <c r="AA22" s="96" t="str">
        <f>IF('Army 6'!$D$2&lt;&gt;0,'Army 6'!$D$13," ")</f>
        <v xml:space="preserve"> </v>
      </c>
      <c r="AB22" s="16" t="s">
        <v>273</v>
      </c>
      <c r="AC22" s="114" t="str">
        <f>IF('Army 6'!$D$11&lt;&gt;0,'Army 6'!$D$11," ")</f>
        <v xml:space="preserve"> </v>
      </c>
      <c r="AD22" s="431" t="str">
        <f>IF(OR('Army 6'!$F$17="Ranged Weapons",'Army 6'!$F$19="Ranged Weapons",'Army 6'!$F$21="Ranged Weapons",'Army 6'!$F$23="Ranged Weapons", 'Army 6'!$B$31="Breath Weapon",'Army 6'!$B$33="Breath Weapon",'Army 6'!$B$35="Breath Weapon",'Army 6'!$B$37="Breath Weapon",'Army 6'!$B$39="Breath Weapon",'Army 6'!$B$31="Rock throwing",'Army 6'!$B$33="Rock throwing",'Army 6'!$B$35="Rock throwing",'Army 6'!$B$37="Rock throwing",'Army 6'!$B$39="Rock throwing",'Army 6'!$B$31="Spellcasting",'Army 6'!$B$33="Spellcasting",'Army 6'!$B$35="Spellcasting",'Army 6'!$B$37="Spellcasting",'Army 6'!$B$39="Spellcasting")=TRUE,", ranged"," ")</f>
        <v xml:space="preserve"> </v>
      </c>
      <c r="AE22" s="405"/>
      <c r="AF22" s="405"/>
      <c r="AG22" s="123"/>
    </row>
    <row r="23" spans="1:33" x14ac:dyDescent="0.25">
      <c r="A23" s="120"/>
      <c r="B23" s="17" t="s">
        <v>186</v>
      </c>
      <c r="C23" s="5"/>
      <c r="D23" s="435" t="str">
        <f>IF('Army 4'!$B$17&lt;&gt;0,'Army 4'!$B$17," ")</f>
        <v xml:space="preserve"> </v>
      </c>
      <c r="E23" s="435"/>
      <c r="F23" s="435"/>
      <c r="G23" s="435"/>
      <c r="H23" s="435"/>
      <c r="I23" s="435"/>
      <c r="J23" s="435"/>
      <c r="K23" s="124"/>
      <c r="L23" s="120"/>
      <c r="M23" s="17" t="s">
        <v>186</v>
      </c>
      <c r="N23" s="5"/>
      <c r="O23" s="435" t="str">
        <f>IF('Army 5'!$B$17&lt;&gt;0,'Army 5'!$B$17," ")</f>
        <v xml:space="preserve"> </v>
      </c>
      <c r="P23" s="435"/>
      <c r="Q23" s="435"/>
      <c r="R23" s="435"/>
      <c r="S23" s="435"/>
      <c r="T23" s="435"/>
      <c r="U23" s="435"/>
      <c r="V23" s="124"/>
      <c r="W23" s="120"/>
      <c r="X23" s="17" t="s">
        <v>186</v>
      </c>
      <c r="Y23" s="5"/>
      <c r="Z23" s="435" t="str">
        <f>IF('Army 6'!$B$17&lt;&gt;0,'Army 6'!$B$17," ")</f>
        <v xml:space="preserve"> </v>
      </c>
      <c r="AA23" s="435"/>
      <c r="AB23" s="435"/>
      <c r="AC23" s="435"/>
      <c r="AD23" s="435"/>
      <c r="AE23" s="435"/>
      <c r="AF23" s="435"/>
      <c r="AG23" s="124"/>
    </row>
    <row r="24" spans="1:33" x14ac:dyDescent="0.25">
      <c r="A24" s="120"/>
      <c r="B24" s="17" t="s">
        <v>56</v>
      </c>
      <c r="C24" s="5"/>
      <c r="D24" s="439" t="str">
        <f>IF('Army 4'!$F$17&lt;&gt;0,'Army 4'!$F$17," ")</f>
        <v xml:space="preserve"> </v>
      </c>
      <c r="E24" s="438"/>
      <c r="F24" s="438"/>
      <c r="G24" s="438"/>
      <c r="H24" s="438" t="str">
        <f>IF('Army 4'!$F$19&lt;&gt;0,'Army 4'!$F$19," ")</f>
        <v xml:space="preserve"> </v>
      </c>
      <c r="I24" s="438"/>
      <c r="J24" s="438"/>
      <c r="K24" s="124"/>
      <c r="L24" s="120"/>
      <c r="M24" s="17" t="s">
        <v>56</v>
      </c>
      <c r="N24" s="5"/>
      <c r="O24" s="439" t="str">
        <f>IF('Army 5'!$F$17&lt;&gt;0,'Army 5'!$F$17," ")</f>
        <v xml:space="preserve"> </v>
      </c>
      <c r="P24" s="438"/>
      <c r="Q24" s="438"/>
      <c r="R24" s="438"/>
      <c r="S24" s="438" t="str">
        <f>IF('Army 5'!$F$19&lt;&gt;0,'Army 5'!$F$19," ")</f>
        <v xml:space="preserve"> </v>
      </c>
      <c r="T24" s="438"/>
      <c r="U24" s="438"/>
      <c r="V24" s="124"/>
      <c r="W24" s="120"/>
      <c r="X24" s="17" t="s">
        <v>56</v>
      </c>
      <c r="Y24" s="5"/>
      <c r="Z24" s="439" t="str">
        <f>IF('Army 6'!$F$17&lt;&gt;0,'Army 6'!$F$17," ")</f>
        <v xml:space="preserve"> </v>
      </c>
      <c r="AA24" s="438"/>
      <c r="AB24" s="438"/>
      <c r="AC24" s="438"/>
      <c r="AD24" s="438" t="str">
        <f>IF('Army 6'!$F$19&lt;&gt;0,'Army 6'!$F$19," ")</f>
        <v xml:space="preserve"> </v>
      </c>
      <c r="AE24" s="438"/>
      <c r="AF24" s="438"/>
      <c r="AG24" s="124"/>
    </row>
    <row r="25" spans="1:33" x14ac:dyDescent="0.25">
      <c r="A25" s="120"/>
      <c r="B25" s="438" t="str">
        <f>IF('Army 4'!$F$21&lt;&gt;0,'Army 4'!$F$21," ")</f>
        <v xml:space="preserve"> </v>
      </c>
      <c r="C25" s="438"/>
      <c r="D25" s="438"/>
      <c r="E25" s="438"/>
      <c r="F25" s="439" t="str">
        <f>IF('Army 4'!$F$23&lt;&gt;0,'Army 4'!$F$23," ")</f>
        <v xml:space="preserve"> </v>
      </c>
      <c r="G25" s="439"/>
      <c r="H25" s="439"/>
      <c r="I25" s="439"/>
      <c r="J25" s="439"/>
      <c r="K25" s="124"/>
      <c r="L25" s="120"/>
      <c r="M25" s="438" t="str">
        <f>IF('Army 5'!$F$21&lt;&gt;0,'Army 5'!$F$21," ")</f>
        <v xml:space="preserve"> </v>
      </c>
      <c r="N25" s="438"/>
      <c r="O25" s="438"/>
      <c r="P25" s="438"/>
      <c r="Q25" s="439" t="str">
        <f>IF('Army 5'!$F$23&lt;&gt;0,'Army 5'!$F$23," ")</f>
        <v xml:space="preserve"> </v>
      </c>
      <c r="R25" s="439"/>
      <c r="S25" s="439"/>
      <c r="T25" s="439"/>
      <c r="U25" s="439"/>
      <c r="V25" s="124"/>
      <c r="W25" s="120"/>
      <c r="X25" s="438" t="str">
        <f>IF('Army 6'!$F$21&lt;&gt;0,'Army 6'!$F$21," ")</f>
        <v xml:space="preserve"> </v>
      </c>
      <c r="Y25" s="438"/>
      <c r="Z25" s="438"/>
      <c r="AA25" s="438"/>
      <c r="AB25" s="439" t="str">
        <f>IF('Army 6'!$F$23&lt;&gt;0,'Army 6'!$F$23," ")</f>
        <v xml:space="preserve"> </v>
      </c>
      <c r="AC25" s="439"/>
      <c r="AD25" s="439"/>
      <c r="AE25" s="439"/>
      <c r="AF25" s="439"/>
      <c r="AG25" s="124"/>
    </row>
    <row r="26" spans="1:33" x14ac:dyDescent="0.25">
      <c r="A26" s="120"/>
      <c r="B26" s="17" t="s">
        <v>235</v>
      </c>
      <c r="C26" s="5"/>
      <c r="E26" s="435" t="str">
        <f>IF('Army 4'!$B$31&lt;&gt;0,'Army 4'!$B$31," ")</f>
        <v xml:space="preserve"> </v>
      </c>
      <c r="F26" s="435"/>
      <c r="G26" s="435"/>
      <c r="H26" s="435"/>
      <c r="I26" s="435"/>
      <c r="J26" s="435"/>
      <c r="K26" s="124"/>
      <c r="L26" s="120"/>
      <c r="M26" s="17" t="s">
        <v>235</v>
      </c>
      <c r="N26" s="5"/>
      <c r="P26" s="435" t="str">
        <f>IF('Army 5'!$B$31&lt;&gt;0,'Army 5'!$B$31," ")</f>
        <v xml:space="preserve"> </v>
      </c>
      <c r="Q26" s="435"/>
      <c r="R26" s="435"/>
      <c r="S26" s="435"/>
      <c r="T26" s="435"/>
      <c r="U26" s="435"/>
      <c r="V26" s="124"/>
      <c r="W26" s="120"/>
      <c r="X26" s="17" t="s">
        <v>235</v>
      </c>
      <c r="Y26" s="5"/>
      <c r="AA26" s="435" t="str">
        <f>IF('Army 6'!$B$31&lt;&gt;0,'Army 6'!$B$31," ")</f>
        <v xml:space="preserve"> </v>
      </c>
      <c r="AB26" s="435"/>
      <c r="AC26" s="435"/>
      <c r="AD26" s="435"/>
      <c r="AE26" s="435"/>
      <c r="AF26" s="435"/>
      <c r="AG26" s="124"/>
    </row>
    <row r="27" spans="1:33" x14ac:dyDescent="0.25">
      <c r="A27" s="120"/>
      <c r="B27" s="438" t="str">
        <f>IF('Army 4'!$B$33&lt;&gt;0,'Army 4'!$B$33," ")</f>
        <v xml:space="preserve"> </v>
      </c>
      <c r="C27" s="438"/>
      <c r="D27" s="438"/>
      <c r="E27" s="438"/>
      <c r="F27" s="438"/>
      <c r="G27" s="439" t="str">
        <f>IF('Army 4'!$B$35&lt;&gt;0,'Army 4'!$B$35," ")</f>
        <v xml:space="preserve"> </v>
      </c>
      <c r="H27" s="439"/>
      <c r="I27" s="439"/>
      <c r="J27" s="439"/>
      <c r="K27" s="124"/>
      <c r="L27" s="120"/>
      <c r="M27" s="438" t="str">
        <f>IF('Army 5'!$B$33&lt;&gt;0,'Army 5'!$B$33," ")</f>
        <v xml:space="preserve"> </v>
      </c>
      <c r="N27" s="438"/>
      <c r="O27" s="438"/>
      <c r="P27" s="438"/>
      <c r="Q27" s="438"/>
      <c r="R27" s="439" t="str">
        <f>IF('Army 5'!$B$35&lt;&gt;0,'Army 5'!$B$35," ")</f>
        <v xml:space="preserve"> </v>
      </c>
      <c r="S27" s="439"/>
      <c r="T27" s="439"/>
      <c r="U27" s="439"/>
      <c r="V27" s="124"/>
      <c r="W27" s="120"/>
      <c r="X27" s="438" t="str">
        <f>IF('Army 6'!$B$33&lt;&gt;0,'Army 6'!$B$33," ")</f>
        <v xml:space="preserve"> </v>
      </c>
      <c r="Y27" s="438"/>
      <c r="Z27" s="438"/>
      <c r="AA27" s="438"/>
      <c r="AB27" s="438"/>
      <c r="AC27" s="439" t="str">
        <f>IF('Army 6'!$B$35&lt;&gt;0,'Army 6'!$B$35," ")</f>
        <v xml:space="preserve"> </v>
      </c>
      <c r="AD27" s="439"/>
      <c r="AE27" s="439"/>
      <c r="AF27" s="439"/>
      <c r="AG27" s="124"/>
    </row>
    <row r="28" spans="1:33" x14ac:dyDescent="0.25">
      <c r="A28" s="120"/>
      <c r="B28" s="436" t="str">
        <f>IF('Army 4'!$B$37&lt;&gt;0,'Army 4'!$B$37," ")</f>
        <v xml:space="preserve"> </v>
      </c>
      <c r="C28" s="436"/>
      <c r="D28" s="436"/>
      <c r="E28" s="436"/>
      <c r="F28" s="436"/>
      <c r="G28" s="437" t="str">
        <f>IF('Army 4'!$B$39&lt;&gt;0,'Army 4'!$B$39," ")</f>
        <v xml:space="preserve"> </v>
      </c>
      <c r="H28" s="437"/>
      <c r="I28" s="437"/>
      <c r="J28" s="437"/>
      <c r="K28" s="124"/>
      <c r="L28" s="120"/>
      <c r="M28" s="436" t="str">
        <f>IF('Army 5'!$B$37&lt;&gt;0,'Army 5'!$B$37," ")</f>
        <v xml:space="preserve"> </v>
      </c>
      <c r="N28" s="436"/>
      <c r="O28" s="436"/>
      <c r="P28" s="436"/>
      <c r="Q28" s="436"/>
      <c r="R28" s="437" t="str">
        <f>IF('Army 5'!$B$39&lt;&gt;0,'Army 5'!$B$39," ")</f>
        <v xml:space="preserve"> </v>
      </c>
      <c r="S28" s="437"/>
      <c r="T28" s="437"/>
      <c r="U28" s="437"/>
      <c r="V28" s="124"/>
      <c r="W28" s="120"/>
      <c r="X28" s="436" t="str">
        <f>IF('Army 6'!$B$37&lt;&gt;0,'Army 6'!$B$37," ")</f>
        <v xml:space="preserve"> </v>
      </c>
      <c r="Y28" s="436"/>
      <c r="Z28" s="436"/>
      <c r="AA28" s="436"/>
      <c r="AB28" s="436"/>
      <c r="AC28" s="437" t="str">
        <f>IF('Army 6'!$B$39&lt;&gt;0,'Army 6'!$B$39," ")</f>
        <v xml:space="preserve"> </v>
      </c>
      <c r="AD28" s="437"/>
      <c r="AE28" s="437"/>
      <c r="AF28" s="437"/>
      <c r="AG28" s="124"/>
    </row>
    <row r="29" spans="1:33" x14ac:dyDescent="0.25">
      <c r="A29" s="120"/>
      <c r="B29" s="440" t="s">
        <v>274</v>
      </c>
      <c r="C29" s="441"/>
      <c r="D29" s="441"/>
      <c r="E29" s="441"/>
      <c r="F29" s="441"/>
      <c r="G29" s="441"/>
      <c r="H29" s="441"/>
      <c r="I29" s="441"/>
      <c r="J29" s="441"/>
      <c r="K29" s="122"/>
      <c r="L29" s="120"/>
      <c r="M29" s="440" t="s">
        <v>274</v>
      </c>
      <c r="N29" s="441"/>
      <c r="O29" s="441"/>
      <c r="P29" s="441"/>
      <c r="Q29" s="441"/>
      <c r="R29" s="441"/>
      <c r="S29" s="441"/>
      <c r="T29" s="441"/>
      <c r="U29" s="441"/>
      <c r="V29" s="122"/>
      <c r="W29" s="120"/>
      <c r="X29" s="440" t="s">
        <v>274</v>
      </c>
      <c r="Y29" s="441"/>
      <c r="Z29" s="441"/>
      <c r="AA29" s="441"/>
      <c r="AB29" s="441"/>
      <c r="AC29" s="441"/>
      <c r="AD29" s="441"/>
      <c r="AE29" s="441"/>
      <c r="AF29" s="441"/>
      <c r="AG29" s="122"/>
    </row>
    <row r="30" spans="1:33" x14ac:dyDescent="0.25">
      <c r="A30" s="120"/>
      <c r="B30" s="17" t="s">
        <v>184</v>
      </c>
      <c r="C30" s="11" t="str">
        <f>IF('Army 4'!$J$9&lt;&gt;0,'Army 4'!$J$9," ")</f>
        <v xml:space="preserve"> </v>
      </c>
      <c r="E30" s="16" t="s">
        <v>188</v>
      </c>
      <c r="G30" s="107" t="str">
        <f>IF('Army 4'!$D$2&lt;&gt;0,('Army 4'!$J$13+'Army 4'!$L$39+'Army 4'!$P$57+'Army 4'!$P$72+'Army 4'!$P$91)," ")</f>
        <v xml:space="preserve"> </v>
      </c>
      <c r="H30" s="17" t="s">
        <v>63</v>
      </c>
      <c r="J30" s="21" t="str">
        <f>IF('Army 4'!$J$11&lt;&gt;0,'Army 4'!$J$11," ")</f>
        <v xml:space="preserve"> </v>
      </c>
      <c r="K30" s="124"/>
      <c r="L30" s="120"/>
      <c r="M30" s="17" t="s">
        <v>184</v>
      </c>
      <c r="N30" s="11" t="str">
        <f>IF('Army 5'!$J$9&lt;&gt;0,'Army 5'!$J$9," ")</f>
        <v xml:space="preserve"> </v>
      </c>
      <c r="P30" s="16" t="s">
        <v>188</v>
      </c>
      <c r="R30" s="107" t="str">
        <f>IF('Army 5'!$D$2&lt;&gt;0,('Army 5'!$J$13+'Army 5'!$L$39+'Army 5'!$P$57+'Army 5'!$P$72+'Army 5'!$P$91)," ")</f>
        <v xml:space="preserve"> </v>
      </c>
      <c r="S30" s="17" t="s">
        <v>63</v>
      </c>
      <c r="U30" s="21" t="str">
        <f>IF('Army 5'!$J$11&lt;&gt;0,'Army 5'!$J$11," ")</f>
        <v xml:space="preserve"> </v>
      </c>
      <c r="V30" s="124"/>
      <c r="W30" s="120"/>
      <c r="X30" s="17" t="s">
        <v>184</v>
      </c>
      <c r="Y30" s="11" t="str">
        <f>IF('Army 6'!$J$9&lt;&gt;0,'Army 6'!$J$9," ")</f>
        <v xml:space="preserve"> </v>
      </c>
      <c r="AA30" s="16" t="s">
        <v>188</v>
      </c>
      <c r="AC30" s="107" t="str">
        <f>IF('Army 6'!$D$2&lt;&gt;0,('Army 6'!$J$13+'Army 6'!$L$39+'Army 6'!$P$57+'Army 6'!$P$72+'Army 6'!$P$91)," ")</f>
        <v xml:space="preserve"> </v>
      </c>
      <c r="AD30" s="17" t="s">
        <v>63</v>
      </c>
      <c r="AF30" s="21" t="str">
        <f>IF('Army 6'!$J$11&lt;&gt;0,'Army 6'!$J$11," ")</f>
        <v xml:space="preserve"> </v>
      </c>
      <c r="AG30" s="124"/>
    </row>
    <row r="31" spans="1:33" x14ac:dyDescent="0.25">
      <c r="A31" s="120"/>
      <c r="B31" s="17" t="s">
        <v>190</v>
      </c>
      <c r="C31" s="5"/>
      <c r="D31" s="431" t="str">
        <f>IF('Army 4'!$F$31&lt;&gt;0,'Army 4'!$F$31," ")</f>
        <v xml:space="preserve"> </v>
      </c>
      <c r="E31" s="431"/>
      <c r="F31" s="431"/>
      <c r="G31" s="431"/>
      <c r="H31" s="431"/>
      <c r="I31" s="16" t="s">
        <v>276</v>
      </c>
      <c r="J31" s="21" t="str">
        <f>IF('Army 4'!$L$39&lt;&gt;0,'Army 4'!$L$39," ")</f>
        <v xml:space="preserve"> </v>
      </c>
      <c r="K31" s="124"/>
      <c r="L31" s="120"/>
      <c r="M31" s="17" t="s">
        <v>190</v>
      </c>
      <c r="N31" s="5"/>
      <c r="O31" s="431" t="str">
        <f>IF('Army 5'!$F$31&lt;&gt;0,'Army 5'!$F$31," ")</f>
        <v xml:space="preserve"> </v>
      </c>
      <c r="P31" s="431"/>
      <c r="Q31" s="431"/>
      <c r="R31" s="431"/>
      <c r="S31" s="431"/>
      <c r="T31" s="16" t="s">
        <v>276</v>
      </c>
      <c r="U31" s="21" t="str">
        <f>IF('Army 5'!$L$39&lt;&gt;0,'Army 5'!$L$39," ")</f>
        <v xml:space="preserve"> </v>
      </c>
      <c r="V31" s="124"/>
      <c r="W31" s="120"/>
      <c r="X31" s="17" t="s">
        <v>190</v>
      </c>
      <c r="Y31" s="5"/>
      <c r="Z31" s="431" t="str">
        <f>IF('Army 6'!$F$31&lt;&gt;0,'Army 6'!$F$31," ")</f>
        <v xml:space="preserve"> </v>
      </c>
      <c r="AA31" s="431"/>
      <c r="AB31" s="431"/>
      <c r="AC31" s="431"/>
      <c r="AD31" s="431"/>
      <c r="AE31" s="16" t="s">
        <v>276</v>
      </c>
      <c r="AF31" s="21" t="str">
        <f>IF('Army 6'!$L$39&lt;&gt;0,'Army 6'!$L$39," ")</f>
        <v xml:space="preserve"> </v>
      </c>
      <c r="AG31" s="124"/>
    </row>
    <row r="32" spans="1:33" ht="5.0999999999999996" customHeight="1" x14ac:dyDescent="0.25">
      <c r="A32" s="125"/>
      <c r="B32" s="126"/>
      <c r="C32" s="126"/>
      <c r="D32" s="127"/>
      <c r="E32" s="127"/>
      <c r="F32" s="127"/>
      <c r="G32" s="127"/>
      <c r="H32" s="127"/>
      <c r="I32" s="127"/>
      <c r="J32" s="127"/>
      <c r="K32" s="128"/>
      <c r="L32" s="125"/>
      <c r="M32" s="126"/>
      <c r="N32" s="126"/>
      <c r="O32" s="127"/>
      <c r="P32" s="127"/>
      <c r="Q32" s="127"/>
      <c r="R32" s="127"/>
      <c r="S32" s="127"/>
      <c r="T32" s="127"/>
      <c r="U32" s="127"/>
      <c r="V32" s="128"/>
      <c r="W32" s="125"/>
      <c r="X32" s="126"/>
      <c r="Y32" s="126"/>
      <c r="Z32" s="127"/>
      <c r="AA32" s="127"/>
      <c r="AB32" s="127"/>
      <c r="AC32" s="127"/>
      <c r="AD32" s="127"/>
      <c r="AE32" s="127"/>
      <c r="AF32" s="127"/>
      <c r="AG32" s="128"/>
    </row>
    <row r="33" spans="1:33" ht="5.0999999999999996" customHeight="1" x14ac:dyDescent="0.25">
      <c r="A33" s="115"/>
      <c r="B33" s="116"/>
      <c r="C33" s="116"/>
      <c r="D33" s="116"/>
      <c r="E33" s="116"/>
      <c r="F33" s="116"/>
      <c r="G33" s="116"/>
      <c r="H33" s="116"/>
      <c r="I33" s="116"/>
      <c r="J33" s="116"/>
      <c r="K33" s="117"/>
      <c r="L33" s="115"/>
      <c r="M33" s="116"/>
      <c r="N33" s="116"/>
      <c r="O33" s="116"/>
      <c r="P33" s="116"/>
      <c r="Q33" s="116"/>
      <c r="R33" s="116"/>
      <c r="S33" s="116"/>
      <c r="T33" s="116"/>
      <c r="U33" s="116"/>
      <c r="V33" s="117"/>
      <c r="W33" s="115"/>
      <c r="X33" s="116"/>
      <c r="Y33" s="116"/>
      <c r="Z33" s="116"/>
      <c r="AA33" s="116"/>
      <c r="AB33" s="116"/>
      <c r="AC33" s="116"/>
      <c r="AD33" s="116"/>
      <c r="AE33" s="116"/>
      <c r="AF33" s="116"/>
      <c r="AG33" s="117"/>
    </row>
    <row r="34" spans="1:33" x14ac:dyDescent="0.25">
      <c r="A34" s="118"/>
      <c r="B34" s="430" t="str">
        <f>IF('Army 7'!$D$2&lt;&gt;0,'Army 7'!$D$2," ")</f>
        <v xml:space="preserve"> </v>
      </c>
      <c r="C34" s="405"/>
      <c r="D34" s="405"/>
      <c r="E34" s="405"/>
      <c r="F34" s="405"/>
      <c r="G34" s="405"/>
      <c r="H34" s="405"/>
      <c r="I34" s="69" t="s">
        <v>187</v>
      </c>
      <c r="J34" s="112" t="str">
        <f>IF('Army 7'!$L$2&lt;&gt;0,'Army 7'!$L$2," ")</f>
        <v xml:space="preserve"> </v>
      </c>
      <c r="K34" s="119">
        <f>'Army 7'!L34</f>
        <v>0</v>
      </c>
      <c r="L34" s="118"/>
      <c r="M34" s="430" t="str">
        <f>IF('Army 8'!$D$2&lt;&gt;0,'Army 8'!$D$2," ")</f>
        <v xml:space="preserve"> </v>
      </c>
      <c r="N34" s="405"/>
      <c r="O34" s="405"/>
      <c r="P34" s="405"/>
      <c r="Q34" s="405"/>
      <c r="R34" s="405"/>
      <c r="S34" s="405"/>
      <c r="T34" s="69" t="s">
        <v>187</v>
      </c>
      <c r="U34" s="112" t="str">
        <f>IF('Army 8'!$L$2&lt;&gt;0,'Army 8'!$L$2," ")</f>
        <v xml:space="preserve"> </v>
      </c>
      <c r="V34" s="119">
        <f>'Army 8'!W34</f>
        <v>0</v>
      </c>
      <c r="W34" s="118"/>
      <c r="X34" s="430" t="str">
        <f>IF('Army 9'!$D$2&lt;&gt;0,'Army 9'!$D$2," ")</f>
        <v xml:space="preserve"> </v>
      </c>
      <c r="Y34" s="405"/>
      <c r="Z34" s="405"/>
      <c r="AA34" s="405"/>
      <c r="AB34" s="405"/>
      <c r="AC34" s="405"/>
      <c r="AD34" s="405"/>
      <c r="AE34" s="69" t="s">
        <v>187</v>
      </c>
      <c r="AF34" s="112" t="str">
        <f>IF('Army 9'!$L$2&lt;&gt;0,'Army 9'!$L$2," ")</f>
        <v xml:space="preserve"> </v>
      </c>
      <c r="AG34" s="119">
        <f>'Army 9'!AH34</f>
        <v>0</v>
      </c>
    </row>
    <row r="35" spans="1:33" x14ac:dyDescent="0.25">
      <c r="A35" s="120"/>
      <c r="B35" s="443" t="str">
        <f>IF('Army 7'!$D$4&lt;&gt;0,'Army 7'!$D$4," ")</f>
        <v xml:space="preserve"> </v>
      </c>
      <c r="C35" s="443"/>
      <c r="D35" s="444" t="s">
        <v>270</v>
      </c>
      <c r="E35" s="444"/>
      <c r="F35" s="442" t="str">
        <f>IF('Army 7'!$D$25&lt;&gt;0,'Army 7'!$D$25," ")</f>
        <v xml:space="preserve"> </v>
      </c>
      <c r="G35" s="443"/>
      <c r="H35" s="443"/>
      <c r="I35" s="443"/>
      <c r="J35" s="443"/>
      <c r="K35" s="121"/>
      <c r="L35" s="120"/>
      <c r="M35" s="443" t="str">
        <f>IF('Army 8'!$D$4&lt;&gt;0,'Army 8'!$D$4," ")</f>
        <v xml:space="preserve"> </v>
      </c>
      <c r="N35" s="443"/>
      <c r="O35" s="444" t="s">
        <v>270</v>
      </c>
      <c r="P35" s="444"/>
      <c r="Q35" s="442" t="str">
        <f>IF('Army 8'!$D$25&lt;&gt;0,'Army 8'!$D$25," ")</f>
        <v xml:space="preserve"> </v>
      </c>
      <c r="R35" s="443"/>
      <c r="S35" s="443"/>
      <c r="T35" s="443"/>
      <c r="U35" s="443"/>
      <c r="V35" s="121"/>
      <c r="W35" s="120"/>
      <c r="X35" s="443" t="str">
        <f>IF('Army 9'!$D$4&lt;&gt;0,'Army 9'!$D$4," ")</f>
        <v xml:space="preserve"> </v>
      </c>
      <c r="Y35" s="443"/>
      <c r="Z35" s="444" t="s">
        <v>270</v>
      </c>
      <c r="AA35" s="444"/>
      <c r="AB35" s="442" t="str">
        <f>IF('Army 9'!$D$25&lt;&gt;0,'Army 9'!$D$25," ")</f>
        <v xml:space="preserve"> </v>
      </c>
      <c r="AC35" s="443"/>
      <c r="AD35" s="443"/>
      <c r="AE35" s="443"/>
      <c r="AF35" s="443"/>
      <c r="AG35" s="121"/>
    </row>
    <row r="36" spans="1:33" x14ac:dyDescent="0.25">
      <c r="A36" s="120"/>
      <c r="B36" s="440" t="s">
        <v>271</v>
      </c>
      <c r="C36" s="441"/>
      <c r="D36" s="441"/>
      <c r="E36" s="441"/>
      <c r="F36" s="441"/>
      <c r="G36" s="441"/>
      <c r="H36" s="441"/>
      <c r="I36" s="441"/>
      <c r="J36" s="441"/>
      <c r="K36" s="122"/>
      <c r="L36" s="120"/>
      <c r="M36" s="440" t="s">
        <v>271</v>
      </c>
      <c r="N36" s="441"/>
      <c r="O36" s="441"/>
      <c r="P36" s="441"/>
      <c r="Q36" s="441"/>
      <c r="R36" s="441"/>
      <c r="S36" s="441"/>
      <c r="T36" s="441"/>
      <c r="U36" s="441"/>
      <c r="V36" s="122"/>
      <c r="W36" s="120"/>
      <c r="X36" s="440" t="s">
        <v>271</v>
      </c>
      <c r="Y36" s="441"/>
      <c r="Z36" s="441"/>
      <c r="AA36" s="441"/>
      <c r="AB36" s="441"/>
      <c r="AC36" s="441"/>
      <c r="AD36" s="441"/>
      <c r="AE36" s="441"/>
      <c r="AF36" s="441"/>
      <c r="AG36" s="122"/>
    </row>
    <row r="37" spans="1:33" ht="5.0999999999999996" customHeight="1" x14ac:dyDescent="0.25">
      <c r="A37" s="120"/>
      <c r="B37" s="113"/>
      <c r="C37" s="113"/>
      <c r="D37" s="16"/>
      <c r="E37" s="16"/>
      <c r="F37" s="16"/>
      <c r="G37" s="16"/>
      <c r="H37" s="16"/>
      <c r="I37" s="16"/>
      <c r="J37" s="16"/>
      <c r="K37" s="122"/>
      <c r="L37" s="120"/>
      <c r="M37" s="113"/>
      <c r="N37" s="113"/>
      <c r="O37" s="16"/>
      <c r="P37" s="16"/>
      <c r="Q37" s="16"/>
      <c r="R37" s="16"/>
      <c r="S37" s="16"/>
      <c r="T37" s="16"/>
      <c r="U37" s="16"/>
      <c r="V37" s="122"/>
      <c r="W37" s="120"/>
      <c r="X37" s="113"/>
      <c r="Y37" s="113"/>
      <c r="Z37" s="16"/>
      <c r="AA37" s="16"/>
      <c r="AB37" s="16"/>
      <c r="AC37" s="16"/>
      <c r="AD37" s="16"/>
      <c r="AE37" s="16"/>
      <c r="AF37" s="16"/>
      <c r="AG37" s="122"/>
    </row>
    <row r="38" spans="1:33" x14ac:dyDescent="0.25">
      <c r="A38" s="120"/>
      <c r="B38" s="17" t="s">
        <v>275</v>
      </c>
      <c r="C38" s="96" t="str">
        <f>IF('Army 7'!$D$9&lt;&gt;0,'Army 7'!$D$9," ")</f>
        <v xml:space="preserve"> </v>
      </c>
      <c r="D38" s="17" t="s">
        <v>272</v>
      </c>
      <c r="E38" s="96" t="str">
        <f>IF('Army 7'!$D$2&lt;&gt;0,'Army 7'!$D$13," ")</f>
        <v xml:space="preserve"> </v>
      </c>
      <c r="F38" s="16" t="s">
        <v>273</v>
      </c>
      <c r="G38" s="114" t="str">
        <f>IF('Army 7'!$D$11&lt;&gt;0,'Army 7'!$D$11," ")</f>
        <v xml:space="preserve"> </v>
      </c>
      <c r="H38" s="431" t="str">
        <f>IF(OR('Army 7'!$F$17="Ranged Weapons",'Army 7'!$F$19="Ranged Weapons",'Army 7'!$F$21="Ranged Weapons",'Army 7'!$F$23="Ranged Weapons", 'Army 7'!$B$31="Breath Weapon",'Army 7'!$B$33="Breath Weapon",'Army 7'!$B$35="Breath Weapon",'Army 7'!$B$37="Breath Weapon",'Army 7'!$B$39="Breath Weapon",'Army 7'!$B$31="Rock throwing",'Army 7'!$B$33="Rock throwing",'Army 7'!$B$35="Rock throwing",'Army 7'!$B$37="Rock throwing",'Army 7'!$B$39="Rock throwing",'Army 7'!$B$31="Spellcasting",'Army 7'!$B$33="Spellcasting",'Army 7'!$B$35="Spellcasting",'Army 7'!$B$37="Spellcasting",'Army 7'!$B$39="Spellcasting")=TRUE,", ranged"," ")</f>
        <v xml:space="preserve"> </v>
      </c>
      <c r="I38" s="405"/>
      <c r="J38" s="405"/>
      <c r="K38" s="123"/>
      <c r="L38" s="120"/>
      <c r="M38" s="17" t="s">
        <v>275</v>
      </c>
      <c r="N38" s="96" t="str">
        <f>IF('Army 8'!$D$9&lt;&gt;0,'Army 8'!$D$9," ")</f>
        <v xml:space="preserve"> </v>
      </c>
      <c r="O38" s="17" t="s">
        <v>272</v>
      </c>
      <c r="P38" s="96" t="str">
        <f>IF('Army 8'!$D$2&lt;&gt;0,'Army 8'!$D$13," ")</f>
        <v xml:space="preserve"> </v>
      </c>
      <c r="Q38" s="16" t="s">
        <v>273</v>
      </c>
      <c r="R38" s="114" t="str">
        <f>IF('Army 8'!$D$11&lt;&gt;0,'Army 8'!$D$11," ")</f>
        <v xml:space="preserve"> </v>
      </c>
      <c r="S38" s="431" t="str">
        <f>IF(OR('Army 8'!$F$17="Ranged Weapons",'Army 8'!$F$19="Ranged Weapons",'Army 8'!$F$21="Ranged Weapons",'Army 8'!$F$23="Ranged Weapons", 'Army 8'!$B$31="Breath Weapon",'Army 8'!$B$33="Breath Weapon",'Army 8'!$B$35="Breath Weapon",'Army 8'!$B$37="Breath Weapon",'Army 8'!$B$39="Breath Weapon",'Army 8'!$B$31="Rock throwing",'Army 8'!$B$33="Rock throwing",'Army 8'!$B$35="Rock throwing",'Army 8'!$B$37="Rock throwing",'Army 8'!$B$39="Rock throwing",'Army 8'!$B$31="Spellcasting",'Army 8'!$B$33="Spellcasting",'Army 8'!$B$35="Spellcasting",'Army 8'!$B$37="Spellcasting",'Army 8'!$B$39="Spellcasting")=TRUE,", ranged"," ")</f>
        <v xml:space="preserve"> </v>
      </c>
      <c r="T38" s="405"/>
      <c r="U38" s="405"/>
      <c r="V38" s="123"/>
      <c r="W38" s="120"/>
      <c r="X38" s="17" t="s">
        <v>275</v>
      </c>
      <c r="Y38" s="96" t="str">
        <f>IF('Army 9'!$D$9&lt;&gt;0,'Army 9'!$D$9," ")</f>
        <v xml:space="preserve"> </v>
      </c>
      <c r="Z38" s="17" t="s">
        <v>272</v>
      </c>
      <c r="AA38" s="96" t="str">
        <f>IF('Army 9'!$D$2&lt;&gt;0,'Army 9'!$D$13," ")</f>
        <v xml:space="preserve"> </v>
      </c>
      <c r="AB38" s="16" t="s">
        <v>273</v>
      </c>
      <c r="AC38" s="114" t="str">
        <f>IF('Army 9'!$D$11&lt;&gt;0,'Army 9'!$D$11," ")</f>
        <v xml:space="preserve"> </v>
      </c>
      <c r="AD38" s="431" t="str">
        <f>IF(OR('Army 9'!$F$17="Ranged Weapons",'Army 9'!$F$19="Ranged Weapons",'Army 9'!$F$21="Ranged Weapons",'Army 9'!$F$23="Ranged Weapons", 'Army 9'!$B$31="Breath Weapon",'Army 9'!$B$33="Breath Weapon",'Army 9'!$B$35="Breath Weapon",'Army 9'!$B$37="Breath Weapon",'Army 9'!$B$39="Breath Weapon",'Army 9'!$B$31="Rock throwing",'Army 9'!$B$33="Rock throwing",'Army 9'!$B$35="Rock throwing",'Army 9'!$B$37="Rock throwing",'Army 9'!$B$39="Rock throwing",'Army 9'!$B$31="Spellcasting",'Army 9'!$B$33="Spellcasting",'Army 9'!$B$35="Spellcasting",'Army 9'!$B$37="Spellcasting",'Army 9'!$B$39="Spellcasting")=TRUE,", ranged"," ")</f>
        <v xml:space="preserve"> </v>
      </c>
      <c r="AE38" s="405"/>
      <c r="AF38" s="405"/>
      <c r="AG38" s="123"/>
    </row>
    <row r="39" spans="1:33" x14ac:dyDescent="0.25">
      <c r="A39" s="120"/>
      <c r="B39" s="17" t="s">
        <v>186</v>
      </c>
      <c r="C39" s="5"/>
      <c r="D39" s="435" t="str">
        <f>IF('Army 7'!$B$17&lt;&gt;0,'Army 7'!$B$17," ")</f>
        <v xml:space="preserve"> </v>
      </c>
      <c r="E39" s="435"/>
      <c r="F39" s="435"/>
      <c r="G39" s="435"/>
      <c r="H39" s="435"/>
      <c r="I39" s="435"/>
      <c r="J39" s="435"/>
      <c r="K39" s="124"/>
      <c r="L39" s="120"/>
      <c r="M39" s="17" t="s">
        <v>186</v>
      </c>
      <c r="N39" s="5"/>
      <c r="O39" s="435" t="str">
        <f>IF('Army 8'!$B$17&lt;&gt;0,'Army 8'!$B$17," ")</f>
        <v xml:space="preserve"> </v>
      </c>
      <c r="P39" s="435"/>
      <c r="Q39" s="435"/>
      <c r="R39" s="435"/>
      <c r="S39" s="435"/>
      <c r="T39" s="435"/>
      <c r="U39" s="435"/>
      <c r="V39" s="124"/>
      <c r="W39" s="120"/>
      <c r="X39" s="17" t="s">
        <v>186</v>
      </c>
      <c r="Y39" s="5"/>
      <c r="Z39" s="435" t="str">
        <f>IF('Army 9'!$B$17&lt;&gt;0,'Army 9'!$B$17," ")</f>
        <v xml:space="preserve"> </v>
      </c>
      <c r="AA39" s="435"/>
      <c r="AB39" s="435"/>
      <c r="AC39" s="435"/>
      <c r="AD39" s="435"/>
      <c r="AE39" s="435"/>
      <c r="AF39" s="435"/>
      <c r="AG39" s="124"/>
    </row>
    <row r="40" spans="1:33" x14ac:dyDescent="0.25">
      <c r="A40" s="120"/>
      <c r="B40" s="17" t="s">
        <v>56</v>
      </c>
      <c r="C40" s="5"/>
      <c r="D40" s="439" t="str">
        <f>IF('Army 7'!$F$17&lt;&gt;0,'Army 7'!$F$17," ")</f>
        <v xml:space="preserve"> </v>
      </c>
      <c r="E40" s="438"/>
      <c r="F40" s="438"/>
      <c r="G40" s="438"/>
      <c r="H40" s="438" t="str">
        <f>IF('Army 7'!$F$19&lt;&gt;0,'Army 7'!$F$19," ")</f>
        <v xml:space="preserve"> </v>
      </c>
      <c r="I40" s="438"/>
      <c r="J40" s="438"/>
      <c r="K40" s="124"/>
      <c r="L40" s="120"/>
      <c r="M40" s="17" t="s">
        <v>56</v>
      </c>
      <c r="N40" s="5"/>
      <c r="O40" s="439" t="str">
        <f>IF('Army 8'!$F$17&lt;&gt;0,'Army 8'!$F$17," ")</f>
        <v xml:space="preserve"> </v>
      </c>
      <c r="P40" s="438"/>
      <c r="Q40" s="438"/>
      <c r="R40" s="438"/>
      <c r="S40" s="438" t="str">
        <f>IF('Army 8'!$F$19&lt;&gt;0,'Army 8'!$F$19," ")</f>
        <v xml:space="preserve"> </v>
      </c>
      <c r="T40" s="438"/>
      <c r="U40" s="438"/>
      <c r="V40" s="124"/>
      <c r="W40" s="120"/>
      <c r="X40" s="17" t="s">
        <v>56</v>
      </c>
      <c r="Y40" s="5"/>
      <c r="Z40" s="439" t="str">
        <f>IF('Army 9'!$F$17&lt;&gt;0,'Army 9'!$F$17," ")</f>
        <v xml:space="preserve"> </v>
      </c>
      <c r="AA40" s="438"/>
      <c r="AB40" s="438"/>
      <c r="AC40" s="438"/>
      <c r="AD40" s="438" t="str">
        <f>IF('Army 9'!$F$19&lt;&gt;0,'Army 9'!$F$19," ")</f>
        <v xml:space="preserve"> </v>
      </c>
      <c r="AE40" s="438"/>
      <c r="AF40" s="438"/>
      <c r="AG40" s="124"/>
    </row>
    <row r="41" spans="1:33" x14ac:dyDescent="0.25">
      <c r="A41" s="120"/>
      <c r="B41" s="438" t="str">
        <f>IF('Army 7'!$F$21&lt;&gt;0,'Army 7'!$F$21," ")</f>
        <v xml:space="preserve"> </v>
      </c>
      <c r="C41" s="438"/>
      <c r="D41" s="438"/>
      <c r="E41" s="438"/>
      <c r="F41" s="439" t="str">
        <f>IF('Army 7'!$F$23&lt;&gt;0,'Army 7'!$F$23," ")</f>
        <v xml:space="preserve"> </v>
      </c>
      <c r="G41" s="439"/>
      <c r="H41" s="439"/>
      <c r="I41" s="439"/>
      <c r="J41" s="439"/>
      <c r="K41" s="124"/>
      <c r="L41" s="120"/>
      <c r="M41" s="438" t="str">
        <f>IF('Army 8'!$F$21&lt;&gt;0,'Army 8'!$F$21," ")</f>
        <v xml:space="preserve"> </v>
      </c>
      <c r="N41" s="438"/>
      <c r="O41" s="438"/>
      <c r="P41" s="438"/>
      <c r="Q41" s="439" t="str">
        <f>IF('Army 8'!$F$23&lt;&gt;0,'Army 8'!$F$23," ")</f>
        <v xml:space="preserve"> </v>
      </c>
      <c r="R41" s="439"/>
      <c r="S41" s="439"/>
      <c r="T41" s="439"/>
      <c r="U41" s="439"/>
      <c r="V41" s="124"/>
      <c r="W41" s="120"/>
      <c r="X41" s="438" t="str">
        <f>IF('Army 9'!$F$21&lt;&gt;0,'Army 9'!$F$21," ")</f>
        <v xml:space="preserve"> </v>
      </c>
      <c r="Y41" s="438"/>
      <c r="Z41" s="438"/>
      <c r="AA41" s="438"/>
      <c r="AB41" s="439" t="str">
        <f>IF('Army 9'!$F$23&lt;&gt;0,'Army 9'!$F$23," ")</f>
        <v xml:space="preserve"> </v>
      </c>
      <c r="AC41" s="439"/>
      <c r="AD41" s="439"/>
      <c r="AE41" s="439"/>
      <c r="AF41" s="439"/>
      <c r="AG41" s="124"/>
    </row>
    <row r="42" spans="1:33" x14ac:dyDescent="0.25">
      <c r="A42" s="120"/>
      <c r="B42" s="17" t="s">
        <v>235</v>
      </c>
      <c r="C42" s="5"/>
      <c r="E42" s="435" t="str">
        <f>IF('Army 7'!$B$31&lt;&gt;0,'Army 7'!$B$31," ")</f>
        <v xml:space="preserve"> </v>
      </c>
      <c r="F42" s="435"/>
      <c r="G42" s="435"/>
      <c r="H42" s="435"/>
      <c r="I42" s="435"/>
      <c r="J42" s="435"/>
      <c r="K42" s="124"/>
      <c r="L42" s="120"/>
      <c r="M42" s="17" t="s">
        <v>235</v>
      </c>
      <c r="N42" s="5"/>
      <c r="P42" s="435" t="str">
        <f>IF('Army 8'!$B$31&lt;&gt;0,'Army 8'!$B$31," ")</f>
        <v xml:space="preserve"> </v>
      </c>
      <c r="Q42" s="435"/>
      <c r="R42" s="435"/>
      <c r="S42" s="435"/>
      <c r="T42" s="435"/>
      <c r="U42" s="435"/>
      <c r="V42" s="124"/>
      <c r="W42" s="120"/>
      <c r="X42" s="17" t="s">
        <v>235</v>
      </c>
      <c r="Y42" s="5"/>
      <c r="AA42" s="435" t="str">
        <f>IF('Army 9'!$B$31&lt;&gt;0,'Army 9'!$B$31," ")</f>
        <v xml:space="preserve"> </v>
      </c>
      <c r="AB42" s="435"/>
      <c r="AC42" s="435"/>
      <c r="AD42" s="435"/>
      <c r="AE42" s="435"/>
      <c r="AF42" s="435"/>
      <c r="AG42" s="124"/>
    </row>
    <row r="43" spans="1:33" x14ac:dyDescent="0.25">
      <c r="A43" s="120"/>
      <c r="B43" s="438" t="str">
        <f>IF('Army 7'!$B$33&lt;&gt;0,'Army 7'!$B$33," ")</f>
        <v xml:space="preserve"> </v>
      </c>
      <c r="C43" s="438"/>
      <c r="D43" s="438"/>
      <c r="E43" s="438"/>
      <c r="F43" s="438"/>
      <c r="G43" s="439" t="str">
        <f>IF('Army 7'!$B$35&lt;&gt;0,'Army 7'!$B$35," ")</f>
        <v xml:space="preserve"> </v>
      </c>
      <c r="H43" s="439"/>
      <c r="I43" s="439"/>
      <c r="J43" s="439"/>
      <c r="K43" s="124"/>
      <c r="L43" s="120"/>
      <c r="M43" s="438" t="str">
        <f>IF('Army 8'!$B$33&lt;&gt;0,'Army 8'!$B$33," ")</f>
        <v xml:space="preserve"> </v>
      </c>
      <c r="N43" s="438"/>
      <c r="O43" s="438"/>
      <c r="P43" s="438"/>
      <c r="Q43" s="438"/>
      <c r="R43" s="439" t="str">
        <f>IF('Army 8'!$B$35&lt;&gt;0,'Army 8'!$B$35," ")</f>
        <v xml:space="preserve"> </v>
      </c>
      <c r="S43" s="439"/>
      <c r="T43" s="439"/>
      <c r="U43" s="439"/>
      <c r="V43" s="124"/>
      <c r="W43" s="120"/>
      <c r="X43" s="438" t="str">
        <f>IF('Army 9'!$B$33&lt;&gt;0,'Army 9'!$B$33," ")</f>
        <v xml:space="preserve"> </v>
      </c>
      <c r="Y43" s="438"/>
      <c r="Z43" s="438"/>
      <c r="AA43" s="438"/>
      <c r="AB43" s="438"/>
      <c r="AC43" s="439" t="str">
        <f>IF('Army 9'!$B$35&lt;&gt;0,'Army 9'!$B$35," ")</f>
        <v xml:space="preserve"> </v>
      </c>
      <c r="AD43" s="439"/>
      <c r="AE43" s="439"/>
      <c r="AF43" s="439"/>
      <c r="AG43" s="124"/>
    </row>
    <row r="44" spans="1:33" x14ac:dyDescent="0.25">
      <c r="A44" s="120"/>
      <c r="B44" s="436" t="str">
        <f>IF('Army 7'!$B$37&lt;&gt;0,'Army 7'!$B$37," ")</f>
        <v xml:space="preserve"> </v>
      </c>
      <c r="C44" s="436"/>
      <c r="D44" s="436"/>
      <c r="E44" s="436"/>
      <c r="F44" s="436"/>
      <c r="G44" s="437" t="str">
        <f>IF('Army 7'!$B$39&lt;&gt;0,'Army 7'!$B$39," ")</f>
        <v xml:space="preserve"> </v>
      </c>
      <c r="H44" s="437"/>
      <c r="I44" s="437"/>
      <c r="J44" s="437"/>
      <c r="K44" s="124"/>
      <c r="L44" s="120"/>
      <c r="M44" s="436" t="str">
        <f>IF('Army 8'!$B$37&lt;&gt;0,'Army 8'!$B$37," ")</f>
        <v xml:space="preserve"> </v>
      </c>
      <c r="N44" s="436"/>
      <c r="O44" s="436"/>
      <c r="P44" s="436"/>
      <c r="Q44" s="436"/>
      <c r="R44" s="437" t="str">
        <f>IF('Army 8'!$B$39&lt;&gt;0,'Army 8'!$B$39," ")</f>
        <v xml:space="preserve"> </v>
      </c>
      <c r="S44" s="437"/>
      <c r="T44" s="437"/>
      <c r="U44" s="437"/>
      <c r="V44" s="124"/>
      <c r="W44" s="120"/>
      <c r="X44" s="436" t="str">
        <f>IF('Army 9'!$B$37&lt;&gt;0,'Army 9'!$B$37," ")</f>
        <v xml:space="preserve"> </v>
      </c>
      <c r="Y44" s="436"/>
      <c r="Z44" s="436"/>
      <c r="AA44" s="436"/>
      <c r="AB44" s="436"/>
      <c r="AC44" s="437" t="str">
        <f>IF('Army 9'!$B$39&lt;&gt;0,'Army 9'!$B$39," ")</f>
        <v xml:space="preserve"> </v>
      </c>
      <c r="AD44" s="437"/>
      <c r="AE44" s="437"/>
      <c r="AF44" s="437"/>
      <c r="AG44" s="124"/>
    </row>
    <row r="45" spans="1:33" x14ac:dyDescent="0.25">
      <c r="A45" s="120"/>
      <c r="B45" s="440" t="s">
        <v>274</v>
      </c>
      <c r="C45" s="441"/>
      <c r="D45" s="441"/>
      <c r="E45" s="441"/>
      <c r="F45" s="441"/>
      <c r="G45" s="441"/>
      <c r="H45" s="441"/>
      <c r="I45" s="441"/>
      <c r="J45" s="441"/>
      <c r="K45" s="122"/>
      <c r="L45" s="120"/>
      <c r="M45" s="440" t="s">
        <v>274</v>
      </c>
      <c r="N45" s="441"/>
      <c r="O45" s="441"/>
      <c r="P45" s="441"/>
      <c r="Q45" s="441"/>
      <c r="R45" s="441"/>
      <c r="S45" s="441"/>
      <c r="T45" s="441"/>
      <c r="U45" s="441"/>
      <c r="V45" s="122"/>
      <c r="W45" s="120"/>
      <c r="X45" s="440" t="s">
        <v>274</v>
      </c>
      <c r="Y45" s="441"/>
      <c r="Z45" s="441"/>
      <c r="AA45" s="441"/>
      <c r="AB45" s="441"/>
      <c r="AC45" s="441"/>
      <c r="AD45" s="441"/>
      <c r="AE45" s="441"/>
      <c r="AF45" s="441"/>
      <c r="AG45" s="122"/>
    </row>
    <row r="46" spans="1:33" x14ac:dyDescent="0.25">
      <c r="A46" s="120"/>
      <c r="B46" s="17" t="s">
        <v>184</v>
      </c>
      <c r="C46" s="11" t="str">
        <f>IF('Army 7'!$J$9&lt;&gt;0,'Army 7'!$J$9," ")</f>
        <v xml:space="preserve"> </v>
      </c>
      <c r="E46" s="16" t="s">
        <v>188</v>
      </c>
      <c r="G46" s="107" t="str">
        <f>IF('Army 7'!$D$2&lt;&gt;0,('Army 7'!$J$13+'Army 7'!$L$39+'Army 7'!$P$57+'Army 7'!$P$72+'Army 7'!$P$91)," ")</f>
        <v xml:space="preserve"> </v>
      </c>
      <c r="H46" s="17" t="s">
        <v>63</v>
      </c>
      <c r="J46" s="21" t="str">
        <f>IF('Army 7'!$J$11&lt;&gt;0,'Army 7'!$J$11," ")</f>
        <v xml:space="preserve"> </v>
      </c>
      <c r="K46" s="124"/>
      <c r="L46" s="120"/>
      <c r="M46" s="17" t="s">
        <v>184</v>
      </c>
      <c r="N46" s="11" t="str">
        <f>IF('Army 8'!$J$9&lt;&gt;0,'Army 8'!$J$9," ")</f>
        <v xml:space="preserve"> </v>
      </c>
      <c r="P46" s="16" t="s">
        <v>188</v>
      </c>
      <c r="R46" s="107" t="str">
        <f>IF('Army 8'!$D$2&lt;&gt;0,('Army 8'!$J$13+'Army 8'!$L$39+'Army 8'!$P$57+'Army 8'!$P$72+'Army 8'!$P$91)," ")</f>
        <v xml:space="preserve"> </v>
      </c>
      <c r="S46" s="17" t="s">
        <v>63</v>
      </c>
      <c r="U46" s="21" t="str">
        <f>IF('Army 8'!$J$11&lt;&gt;0,'Army 8'!$J$11," ")</f>
        <v xml:space="preserve"> </v>
      </c>
      <c r="V46" s="124"/>
      <c r="W46" s="120"/>
      <c r="X46" s="17" t="s">
        <v>184</v>
      </c>
      <c r="Y46" s="11" t="str">
        <f>IF('Army 9'!$J$9&lt;&gt;0,'Army 9'!$J$9," ")</f>
        <v xml:space="preserve"> </v>
      </c>
      <c r="AA46" s="16" t="s">
        <v>188</v>
      </c>
      <c r="AC46" s="107" t="str">
        <f>IF('Army 9'!$D$2&lt;&gt;0,('Army 9'!$J$13+'Army 9'!$L$39+'Army 9'!$P$57+'Army 9'!$P$72+'Army 9'!$P$91)," ")</f>
        <v xml:space="preserve"> </v>
      </c>
      <c r="AD46" s="17" t="s">
        <v>63</v>
      </c>
      <c r="AF46" s="21" t="str">
        <f>IF('Army 9'!$J$11&lt;&gt;0,'Army 9'!$J$11," ")</f>
        <v xml:space="preserve"> </v>
      </c>
      <c r="AG46" s="124"/>
    </row>
    <row r="47" spans="1:33" x14ac:dyDescent="0.25">
      <c r="A47" s="120"/>
      <c r="B47" s="17" t="s">
        <v>190</v>
      </c>
      <c r="C47" s="5"/>
      <c r="D47" s="431" t="str">
        <f>IF('Army 7'!$F$31&lt;&gt;0,'Army 7'!$F$31," ")</f>
        <v xml:space="preserve"> </v>
      </c>
      <c r="E47" s="431"/>
      <c r="F47" s="431"/>
      <c r="G47" s="431"/>
      <c r="H47" s="431"/>
      <c r="I47" s="16" t="s">
        <v>276</v>
      </c>
      <c r="J47" s="21" t="str">
        <f>IF('Army 7'!$L$39&lt;&gt;0,'Army 7'!$L$39," ")</f>
        <v xml:space="preserve"> </v>
      </c>
      <c r="K47" s="124"/>
      <c r="L47" s="120"/>
      <c r="M47" s="17" t="s">
        <v>190</v>
      </c>
      <c r="N47" s="5"/>
      <c r="O47" s="431" t="str">
        <f>IF('Army 8'!$F$31&lt;&gt;0,'Army 8'!$F$31," ")</f>
        <v xml:space="preserve"> </v>
      </c>
      <c r="P47" s="431"/>
      <c r="Q47" s="431"/>
      <c r="R47" s="431"/>
      <c r="S47" s="431"/>
      <c r="T47" s="16" t="s">
        <v>276</v>
      </c>
      <c r="U47" s="21" t="str">
        <f>IF('Army 8'!$L$39&lt;&gt;0,'Army 8'!$L$39," ")</f>
        <v xml:space="preserve"> </v>
      </c>
      <c r="V47" s="124"/>
      <c r="W47" s="120"/>
      <c r="X47" s="17" t="s">
        <v>190</v>
      </c>
      <c r="Y47" s="5"/>
      <c r="Z47" s="431" t="str">
        <f>IF('Army 9'!$F$31&lt;&gt;0,'Army 9'!$F$31," ")</f>
        <v xml:space="preserve"> </v>
      </c>
      <c r="AA47" s="431"/>
      <c r="AB47" s="431"/>
      <c r="AC47" s="431"/>
      <c r="AD47" s="431"/>
      <c r="AE47" s="16" t="s">
        <v>276</v>
      </c>
      <c r="AF47" s="21" t="str">
        <f>IF('Army 9'!$L$39&lt;&gt;0,'Army 9'!$L$39," ")</f>
        <v xml:space="preserve"> </v>
      </c>
      <c r="AG47" s="124"/>
    </row>
    <row r="48" spans="1:33" ht="5.0999999999999996" customHeight="1" x14ac:dyDescent="0.25">
      <c r="A48" s="125"/>
      <c r="B48" s="126"/>
      <c r="C48" s="126"/>
      <c r="D48" s="127"/>
      <c r="E48" s="127"/>
      <c r="F48" s="127"/>
      <c r="G48" s="127"/>
      <c r="H48" s="127"/>
      <c r="I48" s="127"/>
      <c r="J48" s="127"/>
      <c r="K48" s="128"/>
      <c r="L48" s="125"/>
      <c r="M48" s="126"/>
      <c r="N48" s="126"/>
      <c r="O48" s="127"/>
      <c r="P48" s="127"/>
      <c r="Q48" s="127"/>
      <c r="R48" s="127"/>
      <c r="S48" s="127"/>
      <c r="T48" s="127"/>
      <c r="U48" s="127"/>
      <c r="V48" s="128"/>
      <c r="W48" s="125"/>
      <c r="X48" s="126"/>
      <c r="Y48" s="126"/>
      <c r="Z48" s="127"/>
      <c r="AA48" s="127"/>
      <c r="AB48" s="127"/>
      <c r="AC48" s="127"/>
      <c r="AD48" s="127"/>
      <c r="AE48" s="127"/>
      <c r="AF48" s="127"/>
      <c r="AG48" s="128"/>
    </row>
    <row r="49" spans="2:9" ht="3" customHeight="1" thickBot="1" x14ac:dyDescent="0.3"/>
    <row r="50" spans="2:9" ht="15.75" thickBot="1" x14ac:dyDescent="0.3">
      <c r="B50" s="432" t="s">
        <v>279</v>
      </c>
      <c r="C50" s="433"/>
      <c r="D50" s="433"/>
      <c r="E50" s="433"/>
      <c r="F50" s="433"/>
      <c r="G50" s="434"/>
      <c r="I50" s="106">
        <f>C61</f>
        <v>0</v>
      </c>
    </row>
    <row r="51" spans="2:9" hidden="1" x14ac:dyDescent="0.25">
      <c r="B51" t="s">
        <v>278</v>
      </c>
    </row>
    <row r="52" spans="2:9" hidden="1" x14ac:dyDescent="0.25">
      <c r="B52">
        <v>1</v>
      </c>
      <c r="C52">
        <f>IF('Army 1'!$L$4="Yes",IF('Army 1'!$J$11&lt;&gt;0,'Army 1'!$J$11,0),0)</f>
        <v>0</v>
      </c>
    </row>
    <row r="53" spans="2:9" hidden="1" x14ac:dyDescent="0.25">
      <c r="B53">
        <v>2</v>
      </c>
      <c r="C53">
        <f>IF('Army 2'!$L$4="Yes",IF('Army 2'!$J$11&lt;&gt;0,'Army 2'!$J$11,0),0)</f>
        <v>0</v>
      </c>
    </row>
    <row r="54" spans="2:9" hidden="1" x14ac:dyDescent="0.25">
      <c r="B54">
        <v>3</v>
      </c>
      <c r="C54">
        <f>IF('Army 3'!$L$4="Yes",IF('Army 3'!$J$11&lt;&gt;0,'Army 3'!$J$11,0),0)</f>
        <v>0</v>
      </c>
    </row>
    <row r="55" spans="2:9" hidden="1" x14ac:dyDescent="0.25">
      <c r="B55">
        <v>4</v>
      </c>
      <c r="C55">
        <f>IF('Army 4'!$L$4="Yes",IF('Army 4'!$J$11&lt;&gt;0,'Army 4'!$J$11,0),0)</f>
        <v>0</v>
      </c>
    </row>
    <row r="56" spans="2:9" hidden="1" x14ac:dyDescent="0.25">
      <c r="B56">
        <v>5</v>
      </c>
      <c r="C56">
        <f>IF('Army 5'!$L$4="Yes",IF('Army 5'!$J$11&lt;&gt;0,'Army 5'!$J$11,0),0)</f>
        <v>0</v>
      </c>
    </row>
    <row r="57" spans="2:9" hidden="1" x14ac:dyDescent="0.25">
      <c r="B57">
        <v>6</v>
      </c>
      <c r="C57">
        <f>IF('Army 6'!$L$4="Yes",IF('Army 6'!$J$11&lt;&gt;0,'Army 6'!$J$11,0),0)</f>
        <v>0</v>
      </c>
    </row>
    <row r="58" spans="2:9" hidden="1" x14ac:dyDescent="0.25">
      <c r="B58">
        <v>7</v>
      </c>
      <c r="C58">
        <f>IF('Army 7'!$L$4="Yes",IF('Army 7'!$J$11&lt;&gt;0,'Army 7'!$J$11,0),0)</f>
        <v>0</v>
      </c>
    </row>
    <row r="59" spans="2:9" hidden="1" x14ac:dyDescent="0.25">
      <c r="B59">
        <v>8</v>
      </c>
      <c r="C59">
        <f>IF('Army 8'!$L$4="Yes",IF('Army 8'!$J$11&lt;&gt;0,'Army 8'!$J$11,0),0)</f>
        <v>0</v>
      </c>
    </row>
    <row r="60" spans="2:9" hidden="1" x14ac:dyDescent="0.25">
      <c r="B60">
        <v>9</v>
      </c>
      <c r="C60">
        <f>IF('Army 9'!$L$4="Yes",IF('Army 9'!$J$11&lt;&gt;0,'Army 9'!$J$11,0),0)</f>
        <v>0</v>
      </c>
    </row>
    <row r="61" spans="2:9" hidden="1" x14ac:dyDescent="0.25">
      <c r="C61">
        <f>SUM(C52:C60)</f>
        <v>0</v>
      </c>
    </row>
  </sheetData>
  <sheetProtection selectLockedCells="1"/>
  <mergeCells count="163">
    <mergeCell ref="X3:Y3"/>
    <mergeCell ref="B19:C19"/>
    <mergeCell ref="M19:N19"/>
    <mergeCell ref="X19:Y19"/>
    <mergeCell ref="B35:C35"/>
    <mergeCell ref="M35:N35"/>
    <mergeCell ref="X35:Y35"/>
    <mergeCell ref="O47:S47"/>
    <mergeCell ref="Z47:AD47"/>
    <mergeCell ref="M44:Q44"/>
    <mergeCell ref="R44:U44"/>
    <mergeCell ref="X44:AB44"/>
    <mergeCell ref="AC44:AF44"/>
    <mergeCell ref="B45:J45"/>
    <mergeCell ref="M45:U45"/>
    <mergeCell ref="X45:AF45"/>
    <mergeCell ref="P42:U42"/>
    <mergeCell ref="AA42:AF42"/>
    <mergeCell ref="B43:F43"/>
    <mergeCell ref="G43:J43"/>
    <mergeCell ref="M43:Q43"/>
    <mergeCell ref="R43:U43"/>
    <mergeCell ref="X43:AB43"/>
    <mergeCell ref="AC43:AF43"/>
    <mergeCell ref="AD40:AF40"/>
    <mergeCell ref="B41:E41"/>
    <mergeCell ref="F41:J41"/>
    <mergeCell ref="M41:P41"/>
    <mergeCell ref="Q41:U41"/>
    <mergeCell ref="X41:AA41"/>
    <mergeCell ref="AB41:AF41"/>
    <mergeCell ref="S38:U38"/>
    <mergeCell ref="AD38:AF38"/>
    <mergeCell ref="D39:J39"/>
    <mergeCell ref="O39:U39"/>
    <mergeCell ref="Z39:AF39"/>
    <mergeCell ref="D40:G40"/>
    <mergeCell ref="H40:J40"/>
    <mergeCell ref="O40:R40"/>
    <mergeCell ref="S40:U40"/>
    <mergeCell ref="Z40:AC40"/>
    <mergeCell ref="O35:P35"/>
    <mergeCell ref="Q35:U35"/>
    <mergeCell ref="Z35:AA35"/>
    <mergeCell ref="AB35:AF35"/>
    <mergeCell ref="B36:J36"/>
    <mergeCell ref="M36:U36"/>
    <mergeCell ref="X36:AF36"/>
    <mergeCell ref="M29:U29"/>
    <mergeCell ref="X29:AF29"/>
    <mergeCell ref="D31:H31"/>
    <mergeCell ref="O31:S31"/>
    <mergeCell ref="Z31:AD31"/>
    <mergeCell ref="B34:H34"/>
    <mergeCell ref="M34:S34"/>
    <mergeCell ref="X34:AD34"/>
    <mergeCell ref="B29:J29"/>
    <mergeCell ref="D35:E35"/>
    <mergeCell ref="F35:J35"/>
    <mergeCell ref="B28:F28"/>
    <mergeCell ref="G28:J28"/>
    <mergeCell ref="M28:Q28"/>
    <mergeCell ref="R28:U28"/>
    <mergeCell ref="X28:AB28"/>
    <mergeCell ref="AC28:AF28"/>
    <mergeCell ref="B27:F27"/>
    <mergeCell ref="G27:J27"/>
    <mergeCell ref="M27:Q27"/>
    <mergeCell ref="R27:U27"/>
    <mergeCell ref="X27:AB27"/>
    <mergeCell ref="AC27:AF27"/>
    <mergeCell ref="M25:P25"/>
    <mergeCell ref="Q25:U25"/>
    <mergeCell ref="X25:AA25"/>
    <mergeCell ref="AB25:AF25"/>
    <mergeCell ref="E26:J26"/>
    <mergeCell ref="P26:U26"/>
    <mergeCell ref="AA26:AF26"/>
    <mergeCell ref="S22:U22"/>
    <mergeCell ref="AD22:AF22"/>
    <mergeCell ref="O23:U23"/>
    <mergeCell ref="Z23:AF23"/>
    <mergeCell ref="D24:G24"/>
    <mergeCell ref="H24:J24"/>
    <mergeCell ref="O24:R24"/>
    <mergeCell ref="S24:U24"/>
    <mergeCell ref="Z24:AC24"/>
    <mergeCell ref="AD24:AF24"/>
    <mergeCell ref="D23:J23"/>
    <mergeCell ref="B20:J20"/>
    <mergeCell ref="M20:U20"/>
    <mergeCell ref="X20:AF20"/>
    <mergeCell ref="X12:AB12"/>
    <mergeCell ref="AC12:AF12"/>
    <mergeCell ref="X13:AF13"/>
    <mergeCell ref="Z15:AD15"/>
    <mergeCell ref="B18:H18"/>
    <mergeCell ref="M18:S18"/>
    <mergeCell ref="X18:AD18"/>
    <mergeCell ref="M13:U13"/>
    <mergeCell ref="O15:S15"/>
    <mergeCell ref="D15:H15"/>
    <mergeCell ref="D19:E19"/>
    <mergeCell ref="F19:J19"/>
    <mergeCell ref="X11:AB11"/>
    <mergeCell ref="AC11:AF11"/>
    <mergeCell ref="M12:Q12"/>
    <mergeCell ref="R12:U12"/>
    <mergeCell ref="P10:U10"/>
    <mergeCell ref="M11:Q11"/>
    <mergeCell ref="R11:U11"/>
    <mergeCell ref="O19:P19"/>
    <mergeCell ref="Q19:U19"/>
    <mergeCell ref="Z19:AA19"/>
    <mergeCell ref="AB19:AF19"/>
    <mergeCell ref="E10:J10"/>
    <mergeCell ref="B11:F11"/>
    <mergeCell ref="X2:AD2"/>
    <mergeCell ref="Z3:AA3"/>
    <mergeCell ref="AB3:AF3"/>
    <mergeCell ref="X4:AF4"/>
    <mergeCell ref="AD6:AF6"/>
    <mergeCell ref="Z7:AF7"/>
    <mergeCell ref="O8:R8"/>
    <mergeCell ref="S8:U8"/>
    <mergeCell ref="M9:P9"/>
    <mergeCell ref="Q9:U9"/>
    <mergeCell ref="M2:S2"/>
    <mergeCell ref="O3:P3"/>
    <mergeCell ref="Q3:U3"/>
    <mergeCell ref="M4:U4"/>
    <mergeCell ref="S6:U6"/>
    <mergeCell ref="O7:U7"/>
    <mergeCell ref="M3:N3"/>
    <mergeCell ref="Z8:AC8"/>
    <mergeCell ref="AD8:AF8"/>
    <mergeCell ref="X9:AA9"/>
    <mergeCell ref="AB9:AF9"/>
    <mergeCell ref="AA10:AF10"/>
    <mergeCell ref="B2:H2"/>
    <mergeCell ref="D47:H47"/>
    <mergeCell ref="B50:G50"/>
    <mergeCell ref="E42:J42"/>
    <mergeCell ref="B44:F44"/>
    <mergeCell ref="G44:J44"/>
    <mergeCell ref="H38:J38"/>
    <mergeCell ref="H22:J22"/>
    <mergeCell ref="B25:E25"/>
    <mergeCell ref="F25:J25"/>
    <mergeCell ref="G11:J11"/>
    <mergeCell ref="B12:F12"/>
    <mergeCell ref="G12:J12"/>
    <mergeCell ref="B4:J4"/>
    <mergeCell ref="B13:J13"/>
    <mergeCell ref="H6:J6"/>
    <mergeCell ref="F3:J3"/>
    <mergeCell ref="D8:G8"/>
    <mergeCell ref="B9:E9"/>
    <mergeCell ref="F9:J9"/>
    <mergeCell ref="D7:J7"/>
    <mergeCell ref="B3:C3"/>
    <mergeCell ref="D3:E3"/>
    <mergeCell ref="H8:J8"/>
  </mergeCells>
  <pageMargins left="0.7" right="0.7" top="0.75" bottom="0.75" header="0.3" footer="0.3"/>
  <pageSetup paperSize="9" scale="7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T456"/>
  <sheetViews>
    <sheetView topLeftCell="A20" zoomScale="90" zoomScaleNormal="90" zoomScaleSheetLayoutView="80" workbookViewId="0">
      <selection activeCell="C30" sqref="C30"/>
    </sheetView>
  </sheetViews>
  <sheetFormatPr defaultRowHeight="15" x14ac:dyDescent="0.25"/>
  <cols>
    <col min="1" max="1" width="5.5703125" style="153" customWidth="1"/>
    <col min="2" max="2" width="29.28515625" style="153" customWidth="1"/>
    <col min="3" max="3" width="77.140625" style="161" customWidth="1"/>
    <col min="4" max="4" width="13.140625" style="153" customWidth="1"/>
    <col min="5" max="5" width="50.7109375" style="153" customWidth="1"/>
    <col min="6" max="6" width="32.28515625" style="161" customWidth="1"/>
    <col min="7" max="7" width="45.42578125" style="161" customWidth="1"/>
    <col min="8" max="8" width="86.5703125" style="153" customWidth="1"/>
    <col min="9" max="9" width="23.28515625" style="161" customWidth="1"/>
    <col min="10" max="10" width="39" style="153" customWidth="1"/>
    <col min="11" max="11" width="15.7109375" style="153" customWidth="1"/>
    <col min="12" max="12" width="26.85546875" style="161" customWidth="1"/>
    <col min="13" max="13" width="78.42578125" style="153" customWidth="1"/>
    <col min="14" max="14" width="24.28515625" style="153" customWidth="1"/>
    <col min="15" max="15" width="6" style="153" customWidth="1"/>
    <col min="16" max="16" width="25.28515625" style="153" bestFit="1" customWidth="1"/>
    <col min="17" max="17" width="21.7109375" style="153" bestFit="1" customWidth="1"/>
    <col min="18" max="18" width="86.140625" style="153" customWidth="1"/>
    <col min="19" max="16384" width="9.140625" style="153"/>
  </cols>
  <sheetData>
    <row r="1" spans="1:20" ht="131.25" customHeight="1" thickBot="1" x14ac:dyDescent="0.3">
      <c r="B1" s="204" t="s">
        <v>327</v>
      </c>
      <c r="C1" s="261">
        <f ca="1">RANDBETWEEN(1,100)</f>
        <v>63</v>
      </c>
      <c r="D1" s="205">
        <f ca="1">RANDBETWEEN(1,81)</f>
        <v>60</v>
      </c>
      <c r="E1" s="261" t="str">
        <f ca="1">IF($C$1&lt;26,VLOOKUP($D$1,$A$13:$C$168,2),"NO EVENT THIS MONTH")</f>
        <v>NO EVENT THIS MONTH</v>
      </c>
      <c r="F1" s="206" t="str">
        <f ca="1">IF($C$1&lt;26,VLOOKUP($D$1,$A$13:$C$168,3),"NO EVENT THIS MONTH")</f>
        <v>NO EVENT THIS MONTH</v>
      </c>
      <c r="H1" s="255"/>
      <c r="I1" s="255"/>
      <c r="K1" s="170" t="s">
        <v>343</v>
      </c>
      <c r="L1" s="170" t="s">
        <v>344</v>
      </c>
      <c r="M1" s="170" t="s">
        <v>1291</v>
      </c>
      <c r="N1" s="170" t="s">
        <v>1292</v>
      </c>
    </row>
    <row r="2" spans="1:20" ht="131.25" customHeight="1" thickBot="1" x14ac:dyDescent="0.3">
      <c r="B2" s="179" t="s">
        <v>328</v>
      </c>
      <c r="C2" s="262">
        <f ca="1">RANDBETWEEN(1,100)</f>
        <v>100</v>
      </c>
      <c r="D2" s="205">
        <f ca="1">RANDBETWEEN(1,81)</f>
        <v>3</v>
      </c>
      <c r="E2" s="262" t="str">
        <f ca="1">IF($C$1&lt;76,VLOOKUP($D$2,$A$13:$C$168,2),"NO EVENT THIS MONTH")</f>
        <v>Archeological Discovery</v>
      </c>
      <c r="F2" s="207" t="str">
        <f ca="1">IF($C$1&lt;76,VLOOKUP($D$2,$A$13:$C$168,3),"NO EVENT THIS MONTH")</f>
        <v>A team of archaeologists uncovers and ancient burial site containing some interesting artefacts. They offer 2 Minor Items to the Council for purchase (determine randomly) at 60% of the listed price.</v>
      </c>
      <c r="H2" s="188"/>
      <c r="I2" s="188"/>
      <c r="K2" s="171">
        <f ca="1">RANDBETWEEN(1,6)</f>
        <v>3</v>
      </c>
      <c r="L2" s="171">
        <f ca="1">RANDBETWEEN(1,6)</f>
        <v>4</v>
      </c>
      <c r="M2" s="171">
        <f ca="1">RANDBETWEEN(1,4)</f>
        <v>2</v>
      </c>
      <c r="N2" s="171">
        <f ca="1">RANDBETWEEN(1,4)</f>
        <v>3</v>
      </c>
    </row>
    <row r="3" spans="1:20" x14ac:dyDescent="0.25">
      <c r="H3" s="188"/>
      <c r="I3" s="188"/>
      <c r="K3" s="171" t="str">
        <f ca="1">IF(K2=6,RANDBETWEEN(1,6),"")</f>
        <v/>
      </c>
      <c r="L3" s="171" t="str">
        <f ca="1">IF(L2=6,RANDBETWEEN(1,6),"")</f>
        <v/>
      </c>
      <c r="M3" s="171" t="str">
        <f ca="1">IF(M2=4,RANDBETWEEN(1,4),"")</f>
        <v/>
      </c>
      <c r="N3" s="171" t="str">
        <f ca="1">IF(N2=4,RANDBETWEEN(1,4),"")</f>
        <v/>
      </c>
    </row>
    <row r="4" spans="1:20" s="159" customFormat="1" x14ac:dyDescent="0.25">
      <c r="B4" s="255"/>
      <c r="C4" s="256"/>
      <c r="D4" s="255"/>
      <c r="E4" s="255"/>
      <c r="F4" s="255"/>
      <c r="G4" s="160"/>
      <c r="H4" s="188"/>
      <c r="I4" s="188"/>
      <c r="K4" s="171" t="str">
        <f t="shared" ref="K4:L9" ca="1" si="0">IF(K3=6,RANDBETWEEN(1,6),"")</f>
        <v/>
      </c>
      <c r="L4" s="171" t="str">
        <f t="shared" ca="1" si="0"/>
        <v/>
      </c>
      <c r="M4" s="171" t="str">
        <f t="shared" ref="M4:M9" ca="1" si="1">IF(M3=4,RANDBETWEEN(1,4),"")</f>
        <v/>
      </c>
      <c r="N4" s="171" t="str">
        <f t="shared" ref="N4:N9" ca="1" si="2">IF(N3=4,RANDBETWEEN(1,4),"")</f>
        <v/>
      </c>
    </row>
    <row r="5" spans="1:20" x14ac:dyDescent="0.25">
      <c r="B5" s="188"/>
      <c r="C5" s="254"/>
      <c r="D5" s="188"/>
      <c r="E5" s="188"/>
      <c r="F5" s="188"/>
      <c r="H5" s="188"/>
      <c r="I5" s="188"/>
      <c r="K5" s="171" t="str">
        <f t="shared" ca="1" si="0"/>
        <v/>
      </c>
      <c r="L5" s="171" t="str">
        <f t="shared" ca="1" si="0"/>
        <v/>
      </c>
      <c r="M5" s="171" t="str">
        <f t="shared" ca="1" si="1"/>
        <v/>
      </c>
      <c r="N5" s="171" t="str">
        <f t="shared" ca="1" si="2"/>
        <v/>
      </c>
    </row>
    <row r="6" spans="1:20" x14ac:dyDescent="0.25">
      <c r="B6" s="188"/>
      <c r="C6" s="254"/>
      <c r="D6" s="188"/>
      <c r="E6" s="188"/>
      <c r="F6" s="188"/>
      <c r="H6" s="188"/>
      <c r="I6" s="188"/>
      <c r="K6" s="171" t="str">
        <f t="shared" ca="1" si="0"/>
        <v/>
      </c>
      <c r="L6" s="171" t="str">
        <f t="shared" ca="1" si="0"/>
        <v/>
      </c>
      <c r="M6" s="171" t="str">
        <f t="shared" ca="1" si="1"/>
        <v/>
      </c>
      <c r="N6" s="171" t="str">
        <f t="shared" ca="1" si="2"/>
        <v/>
      </c>
    </row>
    <row r="7" spans="1:20" x14ac:dyDescent="0.25">
      <c r="B7" s="188"/>
      <c r="C7" s="254"/>
      <c r="D7" s="188"/>
      <c r="E7" s="188"/>
      <c r="F7" s="188"/>
      <c r="H7" s="188"/>
      <c r="I7" s="188"/>
      <c r="K7" s="171" t="str">
        <f t="shared" ca="1" si="0"/>
        <v/>
      </c>
      <c r="L7" s="171" t="str">
        <f t="shared" ca="1" si="0"/>
        <v/>
      </c>
      <c r="M7" s="171" t="str">
        <f t="shared" ca="1" si="1"/>
        <v/>
      </c>
      <c r="N7" s="171" t="str">
        <f t="shared" ca="1" si="2"/>
        <v/>
      </c>
    </row>
    <row r="8" spans="1:20" x14ac:dyDescent="0.25">
      <c r="B8" s="188"/>
      <c r="C8" s="254"/>
      <c r="D8" s="188"/>
      <c r="E8" s="188"/>
      <c r="F8" s="188"/>
      <c r="H8" s="188"/>
      <c r="I8" s="188"/>
      <c r="K8" s="171" t="str">
        <f t="shared" ca="1" si="0"/>
        <v/>
      </c>
      <c r="L8" s="171" t="str">
        <f t="shared" ca="1" si="0"/>
        <v/>
      </c>
      <c r="M8" s="171" t="str">
        <f t="shared" ca="1" si="1"/>
        <v/>
      </c>
      <c r="N8" s="171" t="str">
        <f t="shared" ca="1" si="2"/>
        <v/>
      </c>
    </row>
    <row r="9" spans="1:20" ht="15.75" thickBot="1" x14ac:dyDescent="0.3">
      <c r="A9" s="153" t="s">
        <v>280</v>
      </c>
      <c r="H9" s="188"/>
      <c r="I9" s="188"/>
      <c r="K9" s="172" t="str">
        <f t="shared" ca="1" si="0"/>
        <v/>
      </c>
      <c r="L9" s="172" t="str">
        <f t="shared" ca="1" si="0"/>
        <v/>
      </c>
      <c r="M9" s="171" t="str">
        <f t="shared" ca="1" si="1"/>
        <v/>
      </c>
      <c r="N9" s="171" t="str">
        <f t="shared" ca="1" si="2"/>
        <v/>
      </c>
    </row>
    <row r="10" spans="1:20" ht="15.75" thickBot="1" x14ac:dyDescent="0.3">
      <c r="H10" s="188"/>
      <c r="I10" s="188"/>
      <c r="K10" s="173">
        <f ca="1">SUM(K2:K9)</f>
        <v>3</v>
      </c>
      <c r="L10" s="173">
        <f ca="1">SUM(K2:L9)</f>
        <v>7</v>
      </c>
      <c r="M10" s="173">
        <f ca="1">SUM(M2:M9)</f>
        <v>2</v>
      </c>
      <c r="N10" s="173">
        <f ca="1">SUM(M2:N9)</f>
        <v>5</v>
      </c>
    </row>
    <row r="11" spans="1:20" x14ac:dyDescent="0.25">
      <c r="C11" s="161" t="s">
        <v>1689</v>
      </c>
      <c r="G11" s="161" t="s">
        <v>1690</v>
      </c>
      <c r="H11" s="188"/>
      <c r="I11" s="188"/>
      <c r="M11" s="153" t="s">
        <v>295</v>
      </c>
      <c r="R11" s="153" t="s">
        <v>296</v>
      </c>
    </row>
    <row r="12" spans="1:20" x14ac:dyDescent="0.25">
      <c r="A12" s="354" t="s">
        <v>1225</v>
      </c>
      <c r="B12" s="354" t="s">
        <v>1223</v>
      </c>
      <c r="C12" s="355" t="s">
        <v>1224</v>
      </c>
      <c r="D12" s="354" t="s">
        <v>1686</v>
      </c>
      <c r="E12" s="354" t="s">
        <v>1687</v>
      </c>
      <c r="F12" s="356" t="s">
        <v>1225</v>
      </c>
      <c r="G12" s="356" t="s">
        <v>1223</v>
      </c>
      <c r="H12" s="357" t="s">
        <v>1224</v>
      </c>
      <c r="I12" s="356" t="s">
        <v>1686</v>
      </c>
      <c r="J12" s="356" t="s">
        <v>1687</v>
      </c>
      <c r="K12" s="354" t="s">
        <v>1225</v>
      </c>
      <c r="L12" s="354" t="s">
        <v>1223</v>
      </c>
      <c r="M12" s="355" t="s">
        <v>1224</v>
      </c>
      <c r="N12" s="354" t="s">
        <v>1686</v>
      </c>
      <c r="O12" s="354" t="s">
        <v>1687</v>
      </c>
      <c r="P12" s="356" t="s">
        <v>1225</v>
      </c>
      <c r="Q12" s="356" t="s">
        <v>1223</v>
      </c>
      <c r="R12" s="357" t="s">
        <v>1224</v>
      </c>
      <c r="S12" s="356" t="s">
        <v>1686</v>
      </c>
      <c r="T12" s="356" t="s">
        <v>1687</v>
      </c>
    </row>
    <row r="13" spans="1:20" ht="30" x14ac:dyDescent="0.25">
      <c r="A13" s="188">
        <v>1</v>
      </c>
      <c r="B13" s="188" t="s">
        <v>442</v>
      </c>
      <c r="C13" s="254" t="str">
        <f ca="1">CONCATENATE("An ambassador from a nearby town or state visits the kingdom to offer treaties and arrange for trade agreements, bringing ",RANDBETWEEN(1,6)+2," BP into the kingdoms coffers.")</f>
        <v>An ambassador from a nearby town or state visits the kingdom to offer treaties and arrange for trade agreements, bringing 5 BP into the kingdoms coffers.</v>
      </c>
      <c r="D13" s="188"/>
      <c r="E13" s="188"/>
    </row>
    <row r="14" spans="1:20" ht="45" x14ac:dyDescent="0.25">
      <c r="A14" s="188">
        <f>A13+1</f>
        <v>2</v>
      </c>
      <c r="B14" s="254" t="s">
        <v>1226</v>
      </c>
      <c r="C14" s="254" t="s">
        <v>1186</v>
      </c>
      <c r="D14" s="188"/>
      <c r="E14" s="188"/>
    </row>
    <row r="15" spans="1:20" ht="45" x14ac:dyDescent="0.25">
      <c r="A15" s="188">
        <f t="shared" ref="A15:A78" si="3">A14+1</f>
        <v>3</v>
      </c>
      <c r="B15" s="254" t="s">
        <v>1227</v>
      </c>
      <c r="C15" s="254" t="str">
        <f ca="1">CONCATENATE("A team of archaeologists uncovers and ancient burial site containing some interesting artefacts. They offer ",RANDBETWEEN(1,3)," Minor Items to the Council for purchase (determine randomly) at ",RANDBETWEEN(1,4)*10+50,"% of the listed price.")</f>
        <v>A team of archaeologists uncovers and ancient burial site containing some interesting artefacts. They offer 2 Minor Items to the Council for purchase (determine randomly) at 60% of the listed price.</v>
      </c>
      <c r="D15" s="188"/>
      <c r="E15" s="188"/>
    </row>
    <row r="16" spans="1:20" ht="30" x14ac:dyDescent="0.25">
      <c r="A16" s="188">
        <f t="shared" si="3"/>
        <v>4</v>
      </c>
      <c r="B16" s="254" t="s">
        <v>867</v>
      </c>
      <c r="C16" s="254" t="s">
        <v>1216</v>
      </c>
      <c r="D16" s="188"/>
      <c r="E16" s="188"/>
    </row>
    <row r="17" spans="1:12" ht="30" x14ac:dyDescent="0.25">
      <c r="A17" s="188">
        <f t="shared" si="3"/>
        <v>5</v>
      </c>
      <c r="B17" s="188" t="s">
        <v>429</v>
      </c>
      <c r="C17" s="254" t="str">
        <f ca="1">CONCATENATE("The population is booming! The kingdom goes from strength to strength. Increase the Treasury by ",RANDBETWEEN(1,6)," BP due to the influx of trade and people.")</f>
        <v>The population is booming! The kingdom goes from strength to strength. Increase the Treasury by 3 BP due to the influx of trade and people.</v>
      </c>
      <c r="D17" s="188"/>
      <c r="E17" s="188"/>
    </row>
    <row r="18" spans="1:12" ht="30" x14ac:dyDescent="0.25">
      <c r="A18" s="188">
        <f t="shared" si="3"/>
        <v>6</v>
      </c>
      <c r="B18" s="188" t="s">
        <v>436</v>
      </c>
      <c r="C18" s="254" t="s">
        <v>1183</v>
      </c>
      <c r="D18" s="188"/>
      <c r="E18" s="188"/>
    </row>
    <row r="19" spans="1:12" ht="30" x14ac:dyDescent="0.25">
      <c r="A19" s="188">
        <f t="shared" si="3"/>
        <v>7</v>
      </c>
      <c r="B19" s="161" t="s">
        <v>1232</v>
      </c>
      <c r="C19" s="161" t="s">
        <v>1219</v>
      </c>
      <c r="D19" s="188"/>
      <c r="E19" s="188"/>
    </row>
    <row r="20" spans="1:12" x14ac:dyDescent="0.25">
      <c r="A20" s="188">
        <f t="shared" si="3"/>
        <v>8</v>
      </c>
      <c r="B20" s="188" t="s">
        <v>300</v>
      </c>
      <c r="C20" s="193" t="str">
        <f ca="1">CONCATENATE("Trade is booming in your kingdom! Increase your Treasury by ",L10," BP.")</f>
        <v>Trade is booming in your kingdom! Increase your Treasury by 7 BP.</v>
      </c>
      <c r="D20" s="188"/>
      <c r="E20" s="188"/>
    </row>
    <row r="21" spans="1:12" x14ac:dyDescent="0.25">
      <c r="A21" s="188">
        <f t="shared" si="3"/>
        <v>9</v>
      </c>
      <c r="B21" s="188" t="s">
        <v>297</v>
      </c>
      <c r="C21" s="254" t="str">
        <f ca="1">CONCATENATE("A resource produces an unexpected windfall. Increase your Treasury by ",RANDBETWEEN(1,4)," BP.")</f>
        <v>A resource produces an unexpected windfall. Increase your Treasury by 3 BP.</v>
      </c>
      <c r="D21" s="188"/>
      <c r="E21" s="188"/>
      <c r="K21" s="188"/>
      <c r="L21" s="254"/>
    </row>
    <row r="22" spans="1:12" ht="30" x14ac:dyDescent="0.25">
      <c r="A22" s="188">
        <f t="shared" si="3"/>
        <v>10</v>
      </c>
      <c r="B22" s="188" t="s">
        <v>441</v>
      </c>
      <c r="C22" s="254" t="str">
        <f ca="1">CONCATENATE("A band of travelling Jongleurs hold an impromptu fair, bringing much joy to the populace. Increase the Treasury by ",RANDBETWEEN(1,6)," BP due to increased efficiency and spending.")</f>
        <v>A band of travelling Jongleurs hold an impromptu fair, bringing much joy to the populace. Increase the Treasury by 6 BP due to increased efficiency and spending.</v>
      </c>
      <c r="D22" s="188"/>
      <c r="E22" s="188"/>
      <c r="K22" s="188"/>
      <c r="L22" s="254"/>
    </row>
    <row r="23" spans="1:12" ht="30" x14ac:dyDescent="0.25">
      <c r="A23" s="188">
        <f t="shared" si="3"/>
        <v>11</v>
      </c>
      <c r="B23" s="188" t="s">
        <v>298</v>
      </c>
      <c r="C23" s="193" t="s">
        <v>1180</v>
      </c>
      <c r="D23" s="188"/>
      <c r="E23" s="188"/>
      <c r="K23" s="188"/>
      <c r="L23" s="254"/>
    </row>
    <row r="24" spans="1:12" ht="30" x14ac:dyDescent="0.25">
      <c r="A24" s="188">
        <f t="shared" si="3"/>
        <v>12</v>
      </c>
      <c r="B24" s="161" t="s">
        <v>1235</v>
      </c>
      <c r="C24" s="161" t="s">
        <v>1191</v>
      </c>
      <c r="D24" s="188"/>
      <c r="E24" s="188"/>
      <c r="K24" s="188"/>
      <c r="L24" s="254"/>
    </row>
    <row r="25" spans="1:12" ht="45" x14ac:dyDescent="0.25">
      <c r="A25" s="188">
        <f t="shared" si="3"/>
        <v>13</v>
      </c>
      <c r="B25" s="188" t="s">
        <v>443</v>
      </c>
      <c r="C25" s="254" t="str">
        <f ca="1">CONCATENATE("An increase in the number of people joining the City Guard improves defence and eases the minds of the populace. Increase Stability and Defence by ",RANDBETWEEN(1,6)," until the next Event phase.")</f>
        <v>An increase in the number of people joining the City Guard improves defence and eases the minds of the populace. Increase Stability and Defence by 1 until the next Event phase.</v>
      </c>
      <c r="D25" s="188"/>
      <c r="E25" s="188"/>
    </row>
    <row r="26" spans="1:12" ht="30" x14ac:dyDescent="0.25">
      <c r="A26" s="188">
        <f t="shared" si="3"/>
        <v>14</v>
      </c>
      <c r="B26" s="188" t="s">
        <v>299</v>
      </c>
      <c r="C26" s="193" t="s">
        <v>335</v>
      </c>
      <c r="D26" s="188"/>
      <c r="E26" s="188"/>
    </row>
    <row r="27" spans="1:12" ht="30" x14ac:dyDescent="0.25">
      <c r="A27" s="188">
        <f t="shared" si="3"/>
        <v>15</v>
      </c>
      <c r="B27" s="188" t="s">
        <v>301</v>
      </c>
      <c r="C27" s="193" t="s">
        <v>336</v>
      </c>
      <c r="D27" s="188"/>
      <c r="E27" s="188"/>
    </row>
    <row r="28" spans="1:12" ht="30" x14ac:dyDescent="0.25">
      <c r="A28" s="188">
        <f t="shared" si="3"/>
        <v>16</v>
      </c>
      <c r="B28" s="161" t="s">
        <v>1236</v>
      </c>
      <c r="C28" s="161" t="s">
        <v>1212</v>
      </c>
      <c r="D28" s="188"/>
      <c r="E28" s="188"/>
      <c r="K28" s="161"/>
    </row>
    <row r="29" spans="1:12" ht="30" x14ac:dyDescent="0.25">
      <c r="A29" s="188">
        <f t="shared" si="3"/>
        <v>17</v>
      </c>
      <c r="B29" s="188" t="s">
        <v>303</v>
      </c>
      <c r="C29" s="193" t="str">
        <f ca="1">CONCATENATE("A small group of indigenous creatures joins your kingdom and submits to your rule. Reduce Unrest by 2 and gain ",K10," BP.")</f>
        <v>A small group of indigenous creatures joins your kingdom and submits to your rule. Reduce Unrest by 2 and gain 3 BP.</v>
      </c>
      <c r="D29" s="188"/>
      <c r="E29" s="188"/>
      <c r="K29" s="161"/>
    </row>
    <row r="30" spans="1:12" ht="60" x14ac:dyDescent="0.25">
      <c r="A30" s="188">
        <f t="shared" si="3"/>
        <v>18</v>
      </c>
      <c r="B30" s="188" t="s">
        <v>304</v>
      </c>
      <c r="C30" s="193" t="str">
        <f ca="1">CONCATENATE("One of your kingdom’s citizens creates an artistic masterpiece, constructs a particularly impressive building, or otherwise brings fame to your kingdom. You gain ",RANDBETWEEN(1,6)," BP and a +4 bonus on Economy checks until your next Event phase. Reduce Unrest by 2.")</f>
        <v>One of your kingdom’s citizens creates an artistic masterpiece, constructs a particularly impressive building, or otherwise brings fame to your kingdom. You gain 1 BP and a +4 bonus on Economy checks until your next Event phase. Reduce Unrest by 2.</v>
      </c>
    </row>
    <row r="31" spans="1:12" ht="30" x14ac:dyDescent="0.25">
      <c r="A31" s="188">
        <f t="shared" si="3"/>
        <v>19</v>
      </c>
      <c r="B31" s="188" t="s">
        <v>305</v>
      </c>
      <c r="C31" s="193" t="str">
        <f ca="1">CONCATENATE("A sudden absence of political machinations coincides with an increase in public approval. Reduce Unrest by ",RANDBETWEEN(1,6),".")</f>
        <v>A sudden absence of political machinations coincides with an increase in public approval. Reduce Unrest by 2.</v>
      </c>
      <c r="D31" s="188"/>
      <c r="E31" s="188"/>
    </row>
    <row r="32" spans="1:12" ht="30" x14ac:dyDescent="0.25">
      <c r="A32" s="188">
        <f t="shared" si="3"/>
        <v>20</v>
      </c>
      <c r="B32" s="188" t="s">
        <v>101</v>
      </c>
      <c r="C32" s="254" t="s">
        <v>1182</v>
      </c>
      <c r="D32" s="188"/>
      <c r="E32" s="188"/>
    </row>
    <row r="33" spans="1:12" ht="45" x14ac:dyDescent="0.25">
      <c r="A33" s="188">
        <f t="shared" si="3"/>
        <v>21</v>
      </c>
      <c r="B33" s="188" t="s">
        <v>438</v>
      </c>
      <c r="C33" s="254" t="s">
        <v>1247</v>
      </c>
      <c r="D33" s="188"/>
      <c r="E33" s="188"/>
    </row>
    <row r="34" spans="1:12" ht="45" x14ac:dyDescent="0.25">
      <c r="A34" s="188">
        <f t="shared" si="3"/>
        <v>22</v>
      </c>
      <c r="B34" s="188" t="s">
        <v>284</v>
      </c>
      <c r="C34" s="193" t="str">
        <f ca="1">CONCATENATE("A quirk of your Ruler’s fashion becomes all the rage among the nobility in neighboring kingdoms. As such, tradesmen pass through your kingdom to learn how to copy the style, increasing your Treasury by ",RANDBETWEEN(1,6)," BP.")</f>
        <v>A quirk of your Ruler’s fashion becomes all the rage among the nobility in neighboring kingdoms. As such, tradesmen pass through your kingdom to learn how to copy the style, increasing your Treasury by 5 BP.</v>
      </c>
      <c r="D34" s="188"/>
      <c r="E34" s="188"/>
    </row>
    <row r="35" spans="1:12" ht="30" x14ac:dyDescent="0.25">
      <c r="A35" s="188">
        <f t="shared" si="3"/>
        <v>23</v>
      </c>
      <c r="B35" s="188" t="s">
        <v>285</v>
      </c>
      <c r="C35" s="193" t="str">
        <f ca="1">CONCATENATE("A celebrity from elsewhere visits your kingdom, causing a sudden influx of visitors and spending. Increase the Treasury by ",K10," BP.")</f>
        <v>A celebrity from elsewhere visits your kingdom, causing a sudden influx of visitors and spending. Increase the Treasury by 3 BP.</v>
      </c>
      <c r="D35" s="188"/>
      <c r="E35" s="188"/>
    </row>
    <row r="36" spans="1:12" ht="45" x14ac:dyDescent="0.25">
      <c r="A36" s="188">
        <f t="shared" si="3"/>
        <v>24</v>
      </c>
      <c r="B36" s="188" t="s">
        <v>1195</v>
      </c>
      <c r="C36" s="254" t="s">
        <v>1196</v>
      </c>
      <c r="D36" s="188"/>
      <c r="E36" s="188"/>
    </row>
    <row r="37" spans="1:12" ht="45" x14ac:dyDescent="0.25">
      <c r="A37" s="188">
        <f t="shared" si="3"/>
        <v>25</v>
      </c>
      <c r="B37" s="161" t="s">
        <v>1692</v>
      </c>
      <c r="C37" s="161" t="s">
        <v>1693</v>
      </c>
      <c r="D37" s="188"/>
      <c r="E37" s="188"/>
    </row>
    <row r="38" spans="1:12" ht="60" x14ac:dyDescent="0.25">
      <c r="A38" s="188">
        <f t="shared" si="3"/>
        <v>26</v>
      </c>
      <c r="B38" s="161" t="s">
        <v>1694</v>
      </c>
      <c r="C38" s="161" t="s">
        <v>1695</v>
      </c>
      <c r="D38" s="188"/>
      <c r="E38" s="188"/>
    </row>
    <row r="39" spans="1:12" ht="60" x14ac:dyDescent="0.25">
      <c r="A39" s="188">
        <f t="shared" si="3"/>
        <v>27</v>
      </c>
      <c r="B39" s="188" t="s">
        <v>314</v>
      </c>
      <c r="C39" s="193" t="s">
        <v>332</v>
      </c>
      <c r="D39" s="254"/>
      <c r="E39" s="188"/>
    </row>
    <row r="40" spans="1:12" ht="30" x14ac:dyDescent="0.25">
      <c r="A40" s="188">
        <f t="shared" si="3"/>
        <v>28</v>
      </c>
      <c r="B40" s="254" t="s">
        <v>1228</v>
      </c>
      <c r="C40" s="254" t="s">
        <v>1215</v>
      </c>
      <c r="D40" s="254"/>
      <c r="E40" s="188"/>
      <c r="K40" s="161"/>
    </row>
    <row r="41" spans="1:12" ht="30" x14ac:dyDescent="0.25">
      <c r="A41" s="188">
        <f t="shared" si="3"/>
        <v>29</v>
      </c>
      <c r="B41" s="254" t="s">
        <v>1229</v>
      </c>
      <c r="C41" s="254" t="str">
        <f ca="1">CONCATENATE("A wave of fear spreads through the kingdom due to monster sightings, sickness or criminal activity. Make a Stabiity check or increase Unrest by ",RANDBETWEEN(1,6),".")</f>
        <v>A wave of fear spreads through the kingdom due to monster sightings, sickness or criminal activity. Make a Stabiity check or increase Unrest by 5.</v>
      </c>
      <c r="D41" s="254"/>
      <c r="E41" s="188"/>
      <c r="K41" s="161"/>
    </row>
    <row r="42" spans="1:12" ht="75" x14ac:dyDescent="0.25">
      <c r="A42" s="188">
        <f t="shared" si="3"/>
        <v>30</v>
      </c>
      <c r="B42" s="188" t="s">
        <v>315</v>
      </c>
      <c r="C42" s="257" t="s">
        <v>333</v>
      </c>
      <c r="D42" s="254"/>
      <c r="E42" s="188"/>
      <c r="L42" s="153"/>
    </row>
    <row r="43" spans="1:12" ht="60" x14ac:dyDescent="0.25">
      <c r="A43" s="188">
        <f t="shared" si="3"/>
        <v>31</v>
      </c>
      <c r="B43" s="188" t="s">
        <v>316</v>
      </c>
      <c r="C43" s="257" t="str">
        <f ca="1">CONCATENATE("[CONTINUOUS] Bandits are preying upon those who travel through your kingdom. Make a Stability check. If you succeed, your kingdom’s defenses stop the banditry before it causes problems. If you fail, the bandits reduce your kingdom’s Treasury total by ",K10," BP.")</f>
        <v>[CONTINUOUS] Bandits are preying upon those who travel through your kingdom. Make a Stability check. If you succeed, your kingdom’s defenses stop the banditry before it causes problems. If you fail, the bandits reduce your kingdom’s Treasury total by 3 BP.</v>
      </c>
      <c r="D43" s="254"/>
      <c r="E43" s="188"/>
      <c r="L43" s="153"/>
    </row>
    <row r="44" spans="1:12" ht="30" x14ac:dyDescent="0.25">
      <c r="A44" s="188">
        <f t="shared" si="3"/>
        <v>32</v>
      </c>
      <c r="B44" s="254" t="s">
        <v>1156</v>
      </c>
      <c r="C44" s="254" t="s">
        <v>1187</v>
      </c>
      <c r="D44" s="254"/>
      <c r="E44" s="188"/>
      <c r="I44" s="153"/>
      <c r="J44" s="161"/>
      <c r="L44" s="153"/>
    </row>
    <row r="45" spans="1:12" ht="30" x14ac:dyDescent="0.25">
      <c r="A45" s="188">
        <f t="shared" si="3"/>
        <v>33</v>
      </c>
      <c r="B45" s="254" t="s">
        <v>860</v>
      </c>
      <c r="C45" s="254" t="s">
        <v>1197</v>
      </c>
      <c r="D45" s="254"/>
      <c r="E45" s="188"/>
    </row>
    <row r="46" spans="1:12" ht="45" x14ac:dyDescent="0.25">
      <c r="A46" s="188">
        <f t="shared" si="3"/>
        <v>34</v>
      </c>
      <c r="B46" s="161" t="s">
        <v>1206</v>
      </c>
      <c r="C46" s="161" t="s">
        <v>1207</v>
      </c>
      <c r="D46" s="254"/>
      <c r="E46" s="188"/>
    </row>
    <row r="47" spans="1:12" ht="30" x14ac:dyDescent="0.25">
      <c r="A47" s="188">
        <f t="shared" si="3"/>
        <v>35</v>
      </c>
      <c r="B47" s="161" t="s">
        <v>940</v>
      </c>
      <c r="C47" s="161" t="s">
        <v>1241</v>
      </c>
      <c r="D47" s="254"/>
      <c r="E47" s="188"/>
    </row>
    <row r="48" spans="1:12" ht="45" x14ac:dyDescent="0.25">
      <c r="A48" s="188">
        <f t="shared" si="3"/>
        <v>36</v>
      </c>
      <c r="B48" s="161" t="s">
        <v>1242</v>
      </c>
      <c r="C48" s="161" t="s">
        <v>1240</v>
      </c>
      <c r="D48" s="254"/>
      <c r="E48" s="188"/>
    </row>
    <row r="49" spans="1:14" ht="45" x14ac:dyDescent="0.25">
      <c r="A49" s="188">
        <f t="shared" si="3"/>
        <v>37</v>
      </c>
      <c r="B49" s="188" t="s">
        <v>404</v>
      </c>
      <c r="C49" s="254" t="str">
        <f ca="1">CONCATENATE("Worn through age and neglect, a building in your capital city (determine randomly) requires repairs and maintenance. Spend ",RANDBETWEEN(1,6)," BP making the building sound or lose the benefits of that building until you do so.")</f>
        <v>Worn through age and neglect, a building in your capital city (determine randomly) requires repairs and maintenance. Spend 5 BP making the building sound or lose the benefits of that building until you do so.</v>
      </c>
      <c r="D49" s="254"/>
      <c r="E49" s="188"/>
      <c r="I49" s="159"/>
      <c r="L49" s="153"/>
      <c r="M49" s="161"/>
      <c r="N49" s="161"/>
    </row>
    <row r="50" spans="1:14" ht="30" x14ac:dyDescent="0.25">
      <c r="A50" s="188">
        <f t="shared" si="3"/>
        <v>38</v>
      </c>
      <c r="B50" s="161" t="s">
        <v>916</v>
      </c>
      <c r="C50" s="161" t="s">
        <v>1243</v>
      </c>
      <c r="D50" s="254"/>
      <c r="E50" s="188"/>
      <c r="L50" s="153"/>
      <c r="M50" s="161"/>
      <c r="N50" s="161"/>
    </row>
    <row r="51" spans="1:14" ht="90" x14ac:dyDescent="0.25">
      <c r="A51" s="188">
        <f t="shared" si="3"/>
        <v>39</v>
      </c>
      <c r="B51" s="188" t="s">
        <v>317</v>
      </c>
      <c r="C51" s="259" t="str">
        <f ca="1">CONCATENATE("A fire, storm, earthquake, flood, sabotage, or other disaster strikes! ",IF(RANDBETWEEN(1,6)&lt;6,D51,E51)," Make a Stability check for each affected city block—every failure results in that city block’s destruction"," (this Stability check represents your kingdom’s ability to prepare for or react to the disaster as much as it represents the structure’s ability to withstand damage).")</f>
        <v>A fire, storm, earthquake, flood, sabotage, or other disaster strikes! The disaster is localized and affects only 1 city block(s) in one city.  Make a Stability check for each affected city block—every failure results in that city block’s destruction (this Stability check represents your kingdom’s ability to prepare for or react to the disaster as much as it represents the structure’s ability to withstand damage).</v>
      </c>
      <c r="D51" s="254" t="str">
        <f ca="1">CONCATENATE("The disaster is localized and affects only ",RANDBETWEEN(1,4)," city block(s) in one city. ")</f>
        <v xml:space="preserve">The disaster is localized and affects only 1 city block(s) in one city. </v>
      </c>
      <c r="E51" s="254" t="str">
        <f ca="1">CONCATENATE("The disaster is widespread and affects ",RANDBETWEEN(1,6)," city block(s) in each of your kingdom’s cities.")</f>
        <v>The disaster is widespread and affects 6 city block(s) in each of your kingdom’s cities.</v>
      </c>
      <c r="L51" s="153"/>
      <c r="M51" s="161"/>
      <c r="N51" s="161"/>
    </row>
    <row r="52" spans="1:14" ht="45" x14ac:dyDescent="0.25">
      <c r="A52" s="188">
        <f t="shared" si="3"/>
        <v>40</v>
      </c>
      <c r="B52" s="161" t="s">
        <v>1070</v>
      </c>
      <c r="C52" s="161" t="str">
        <f ca="1">CONCATENATE("[NO MAGIC SHOP = NON-EVENT] An unscrupulous merchant is caught shipping items illegally from the city. Lose ",RANDBETWEEN(1,3)," Minor and ",RANDBETWEEN(1,2)," Medium Items from a Magic Shop (determine randomly).")</f>
        <v>[NO MAGIC SHOP = NON-EVENT] An unscrupulous merchant is caught shipping items illegally from the city. Lose 1 Minor and 2 Medium Items from a Magic Shop (determine randomly).</v>
      </c>
      <c r="D52" s="161"/>
      <c r="L52" s="153"/>
      <c r="M52" s="161"/>
      <c r="N52" s="161"/>
    </row>
    <row r="53" spans="1:14" ht="30" x14ac:dyDescent="0.25">
      <c r="A53" s="188">
        <f t="shared" si="3"/>
        <v>41</v>
      </c>
      <c r="B53" s="188" t="s">
        <v>311</v>
      </c>
      <c r="C53" s="257" t="str">
        <f ca="1">CONCATENATE("Nobles in your cities are bickering. Unless you can smooth over ruffled feathers with a Loyalty check, the feud increases Unrest by ",RANDBETWEEN(1,6),".")</f>
        <v>Nobles in your cities are bickering. Unless you can smooth over ruffled feathers with a Loyalty check, the feud increases Unrest by 6.</v>
      </c>
      <c r="D53" s="161"/>
      <c r="L53" s="153"/>
      <c r="M53" s="161"/>
      <c r="N53" s="161"/>
    </row>
    <row r="54" spans="1:14" ht="45" x14ac:dyDescent="0.25">
      <c r="A54" s="188">
        <f t="shared" si="3"/>
        <v>42</v>
      </c>
      <c r="B54" s="188" t="s">
        <v>318</v>
      </c>
      <c r="C54" s="257" t="s">
        <v>334</v>
      </c>
      <c r="L54" s="153"/>
      <c r="M54" s="161"/>
      <c r="N54" s="161"/>
    </row>
    <row r="55" spans="1:14" ht="45" x14ac:dyDescent="0.25">
      <c r="A55" s="188">
        <f t="shared" si="3"/>
        <v>43</v>
      </c>
      <c r="B55" s="188" t="s">
        <v>433</v>
      </c>
      <c r="C55" s="254" t="str">
        <f ca="1">CONCATENATE("[NO ARENA = NON-EVENT] The citizens demand more blood sports to keep them amused! Make a Stability check or increase Unrest by ",RANDBETWEEN(1,6)," points due to unquenched bloodlust!")</f>
        <v>[NO ARENA = NON-EVENT] The citizens demand more blood sports to keep them amused! Make a Stability check or increase Unrest by 5 points due to unquenched bloodlust!</v>
      </c>
      <c r="L55" s="153"/>
      <c r="M55" s="161"/>
      <c r="N55" s="161"/>
    </row>
    <row r="56" spans="1:14" ht="45" x14ac:dyDescent="0.25">
      <c r="A56" s="188">
        <f t="shared" si="3"/>
        <v>44</v>
      </c>
      <c r="B56" s="161" t="s">
        <v>1035</v>
      </c>
      <c r="C56" s="161" t="str">
        <f ca="1">CONCATENATE("[NO TAX = NON-EVENT] The people are unhappy with the current level of taxation. Reduce the tax level to None for ",RANDBETWEEN(1,3)," months otherwise increase Unrest by 2 for each month the tax is not reduced.")</f>
        <v>[NO TAX = NON-EVENT] The people are unhappy with the current level of taxation. Reduce the tax level to None for 1 months otherwise increase Unrest by 2 for each month the tax is not reduced.</v>
      </c>
      <c r="L56" s="153"/>
      <c r="M56" s="161"/>
      <c r="N56" s="161"/>
    </row>
    <row r="57" spans="1:14" ht="120" x14ac:dyDescent="0.25">
      <c r="A57" s="188">
        <f t="shared" si="3"/>
        <v>45</v>
      </c>
      <c r="B57" s="188" t="s">
        <v>319</v>
      </c>
      <c r="C57" s="257" t="s">
        <v>1331</v>
      </c>
      <c r="L57" s="153"/>
      <c r="M57" s="161"/>
      <c r="N57" s="161"/>
    </row>
    <row r="58" spans="1:14" ht="75" x14ac:dyDescent="0.25">
      <c r="A58" s="188">
        <f t="shared" si="3"/>
        <v>46</v>
      </c>
      <c r="B58" s="188" t="s">
        <v>320</v>
      </c>
      <c r="C58" s="257" t="str">
        <f ca="1">CONCATENATE("Bug swarms (spiders, locusts, etc) have become a problem for nearby farms. Up to ",RANDBETWEEN(1,8)," farm hexes are affected. Make a Stability check for each hex to determine if they were able to protect the crops and fend off the invading pests in that area."," Success on the Stability check halves the Consumption benefit of the farm (from 2 to 1); failure for that hex means that the farm provides no Consumption benefit.")</f>
        <v>Bug swarms (spiders, locusts, etc) have become a problem for nearby farms. Up to 3 farm hexes are affected. Make a Stability check for each hex to determine if they were able to protect the crops and fend off the invading pests in that area. Success on the Stability check halves the Consumption benefit of the farm (from 2 to 1); failure for that hex means that the farm provides no Consumption benefit.</v>
      </c>
      <c r="L58" s="153"/>
      <c r="M58" s="161"/>
      <c r="N58" s="161"/>
    </row>
    <row r="59" spans="1:14" ht="60" x14ac:dyDescent="0.25">
      <c r="A59" s="188">
        <f t="shared" si="3"/>
        <v>47</v>
      </c>
      <c r="B59" s="161" t="s">
        <v>1002</v>
      </c>
      <c r="C59" s="161" t="s">
        <v>1244</v>
      </c>
      <c r="L59" s="153"/>
      <c r="M59" s="161"/>
      <c r="N59" s="161"/>
    </row>
    <row r="60" spans="1:14" ht="60" x14ac:dyDescent="0.25">
      <c r="A60" s="188">
        <f t="shared" si="3"/>
        <v>48</v>
      </c>
      <c r="B60" s="161" t="s">
        <v>890</v>
      </c>
      <c r="C60" s="161" t="str">
        <f ca="1">CONCATENATE("[CONTINUOUS, NO WATER BORDER = NON-EVENT] A group of disenfranchised fishermen set themselves up as pirates, raiding fishing and trading boats alike! Make a Stability check or intervene directly else lose ",RANDBETWEEN(1,4)," BP in plundered resources each month until stopped.")</f>
        <v>[CONTINUOUS, NO WATER BORDER = NON-EVENT] A group of disenfranchised fishermen set themselves up as pirates, raiding fishing and trading boats alike! Make a Stability check or intervene directly else lose 1 BP in plundered resources each month until stopped.</v>
      </c>
      <c r="L60" s="153"/>
      <c r="M60" s="161"/>
      <c r="N60" s="161"/>
    </row>
    <row r="61" spans="1:14" ht="75" x14ac:dyDescent="0.25">
      <c r="A61" s="188">
        <f t="shared" si="3"/>
        <v>49</v>
      </c>
      <c r="B61" s="188" t="s">
        <v>321</v>
      </c>
      <c r="C61" s="257" t="str">
        <f ca="1">CONCATENATE("[CONTINUOUS, NO CITIES = NON-EVENT] A deadly contagion strikes your kingdom! Choose a hex containing a city in your kingdom—this is where the plague strikes. Make a Stability check to curtail the plague’s spread. If you fail, increase Unrest by ",RANDBETWEEN(1,6)," and reduce your Treasury by ",RANDBETWEEN(1,6)," BP. A plague-stricken city cannot build new structures. ")</f>
        <v xml:space="preserve">[CONTINUOUS, NO CITIES = NON-EVENT] A deadly contagion strikes your kingdom! Choose a hex containing a city in your kingdom—this is where the plague strikes. Make a Stability check to curtail the plague’s spread. If you fail, increase Unrest by 1 and reduce your Treasury by 6 BP. A plague-stricken city cannot build new structures. </v>
      </c>
      <c r="L61" s="153"/>
      <c r="M61" s="161"/>
      <c r="N61" s="161"/>
    </row>
    <row r="62" spans="1:14" ht="30" x14ac:dyDescent="0.25">
      <c r="A62" s="188">
        <f t="shared" si="3"/>
        <v>50</v>
      </c>
      <c r="B62" s="188" t="s">
        <v>1245</v>
      </c>
      <c r="C62" s="254" t="s">
        <v>1246</v>
      </c>
      <c r="L62" s="153"/>
      <c r="M62" s="161"/>
      <c r="N62" s="161"/>
    </row>
    <row r="63" spans="1:14" ht="45" x14ac:dyDescent="0.25">
      <c r="A63" s="188">
        <f t="shared" si="3"/>
        <v>51</v>
      </c>
      <c r="B63" s="161" t="s">
        <v>1237</v>
      </c>
      <c r="C63" s="161" t="str">
        <f ca="1">CONCATENATE("[NO JAIL = NON-EVENT] Several prisoners manage to break out of the jail and flee into the surrounding hills. The Marshall must spend time hunting them down. Make a Stability check or increase Unrest by ",RANDBETWEEN(1,4),".")</f>
        <v>[NO JAIL = NON-EVENT] Several prisoners manage to break out of the jail and flee into the surrounding hills. The Marshall must spend time hunting them down. Make a Stability check or increase Unrest by 2.</v>
      </c>
      <c r="L63" s="153"/>
      <c r="M63" s="161"/>
      <c r="N63" s="161"/>
    </row>
    <row r="64" spans="1:14" ht="45" x14ac:dyDescent="0.25">
      <c r="A64" s="188">
        <f t="shared" si="3"/>
        <v>52</v>
      </c>
      <c r="B64" s="161" t="s">
        <v>1164</v>
      </c>
      <c r="C64" s="161" t="str">
        <f ca="1">CONCATENATE("[NO BROTHELS = NON-EVENT] The populace become unhappy with the flagrant disregard the local prostitutes have in touting their wares. Make a Stability check or increase Unrest by the number of brothels in ", IF(RANDBETWEEN(1,2)=1,"the Capital City","one of your outlying towns"),".")</f>
        <v>[NO BROTHELS = NON-EVENT] The populace become unhappy with the flagrant disregard the local prostitutes have in touting their wares. Make a Stability check or increase Unrest by the number of brothels in the Capital City.</v>
      </c>
      <c r="L64" s="153"/>
    </row>
    <row r="65" spans="1:12" ht="45" x14ac:dyDescent="0.25">
      <c r="A65" s="188">
        <f t="shared" si="3"/>
        <v>53</v>
      </c>
      <c r="B65" s="188" t="s">
        <v>290</v>
      </c>
      <c r="C65" s="193" t="s">
        <v>1342</v>
      </c>
      <c r="L65" s="153"/>
    </row>
    <row r="66" spans="1:12" ht="75" x14ac:dyDescent="0.25">
      <c r="A66" s="188">
        <f t="shared" si="3"/>
        <v>54</v>
      </c>
      <c r="B66" s="188" t="s">
        <v>291</v>
      </c>
      <c r="C66" s="257" t="str">
        <f ca="1">CONCATENATE("[CONTINUOUS] Zombies rise up in random city and attack. If the PCs don’t set out to defeat the zombies, a Stability check removes the threat."," The DC of the check is increased by 1 for every graveyard the city possesses beyond the first. If you fail, increase Unrest by ",RANDBETWEEN(1,6)," and reduce your Treasury by ",RANDBETWEEN(1,6)," BP. A zombie riddled city cannot build new structures.")</f>
        <v>[CONTINUOUS] Zombies rise up in random city and attack. If the PCs don’t set out to defeat the zombies, a Stability check removes the threat. The DC of the check is increased by 1 for every graveyard the city possesses beyond the first. If you fail, increase Unrest by 1 and reduce your Treasury by 4 BP. A zombie riddled city cannot build new structures.</v>
      </c>
      <c r="L66" s="153"/>
    </row>
    <row r="67" spans="1:12" ht="30" x14ac:dyDescent="0.25">
      <c r="A67" s="188">
        <f t="shared" si="3"/>
        <v>55</v>
      </c>
      <c r="B67" s="161" t="s">
        <v>1239</v>
      </c>
      <c r="C67" s="161" t="s">
        <v>1204</v>
      </c>
      <c r="L67" s="153"/>
    </row>
    <row r="68" spans="1:12" x14ac:dyDescent="0.25">
      <c r="A68" s="188">
        <f t="shared" si="3"/>
        <v>56</v>
      </c>
      <c r="B68" s="161" t="s">
        <v>1696</v>
      </c>
      <c r="C68" s="153" t="s">
        <v>1697</v>
      </c>
      <c r="E68" s="161"/>
      <c r="L68" s="153"/>
    </row>
    <row r="69" spans="1:12" x14ac:dyDescent="0.25">
      <c r="A69" s="188">
        <f t="shared" si="3"/>
        <v>57</v>
      </c>
      <c r="B69" s="161" t="s">
        <v>1698</v>
      </c>
      <c r="C69" s="153" t="s">
        <v>1699</v>
      </c>
      <c r="E69" s="161"/>
      <c r="L69" s="153"/>
    </row>
    <row r="70" spans="1:12" ht="60" x14ac:dyDescent="0.25">
      <c r="A70" s="188">
        <f t="shared" si="3"/>
        <v>58</v>
      </c>
      <c r="B70" s="188" t="s">
        <v>322</v>
      </c>
      <c r="C70" s="193" t="str">
        <f ca="1">CONCATENATE("An adventuring party passes through your area. They spend money at the local taverns, purchase new weapons and get rid of some minor monster troubles. Reduce your Unrest by 1, add ",RANDBETWEEN(1,4), " BP to the kingdom’s Treasury and reduce the number of available two minor magic item (determined randomly).")</f>
        <v>An adventuring party passes through your area. They spend money at the local taverns, purchase new weapons and get rid of some minor monster troubles. Reduce your Unrest by 1, add 3 BP to the kingdom’s Treasury and reduce the number of available two minor magic item (determined randomly).</v>
      </c>
      <c r="L70" s="153"/>
    </row>
    <row r="71" spans="1:12" ht="45" x14ac:dyDescent="0.25">
      <c r="A71" s="188">
        <f t="shared" si="3"/>
        <v>59</v>
      </c>
      <c r="B71" s="188" t="s">
        <v>1179</v>
      </c>
      <c r="C71" s="254" t="s">
        <v>1691</v>
      </c>
      <c r="L71" s="153"/>
    </row>
    <row r="72" spans="1:12" ht="45" x14ac:dyDescent="0.25">
      <c r="A72" s="188">
        <f t="shared" si="3"/>
        <v>60</v>
      </c>
      <c r="B72" s="161" t="s">
        <v>1231</v>
      </c>
      <c r="C72" s="161" t="str">
        <f ca="1">CONCATENATE("A merchant trade caravan offers to depart for foreign climes, hoping to trade items and bring back new and exotic wares. If you wish to invest, reduce the Treasury by ",RANDBETWEEN(1,6)," BP but add ",RANDBETWEEN(1,2)+1," times that amount in ",RANDBETWEEN(1,4)+2," months time.")</f>
        <v>A merchant trade caravan offers to depart for foreign climes, hoping to trade items and bring back new and exotic wares. If you wish to invest, reduce the Treasury by 6 BP but add 2 times that amount in 6 months time.</v>
      </c>
      <c r="L72" s="153"/>
    </row>
    <row r="73" spans="1:12" ht="60" x14ac:dyDescent="0.25">
      <c r="A73" s="188">
        <f t="shared" si="3"/>
        <v>61</v>
      </c>
      <c r="B73" s="188" t="s">
        <v>323</v>
      </c>
      <c r="C73" s="193" t="s">
        <v>330</v>
      </c>
      <c r="L73" s="153"/>
    </row>
    <row r="74" spans="1:12" ht="60" x14ac:dyDescent="0.25">
      <c r="A74" s="188">
        <f t="shared" si="3"/>
        <v>62</v>
      </c>
      <c r="B74" s="188" t="s">
        <v>324</v>
      </c>
      <c r="C74" s="193" t="s">
        <v>345</v>
      </c>
      <c r="L74" s="153"/>
    </row>
    <row r="75" spans="1:12" ht="45" x14ac:dyDescent="0.25">
      <c r="A75" s="188">
        <f t="shared" si="3"/>
        <v>63</v>
      </c>
      <c r="B75" s="188" t="s">
        <v>1177</v>
      </c>
      <c r="C75" s="254" t="str">
        <f ca="1">CONCATENATE("A group of adventurers enters the city in search of mercenaries and porters to assist in their quest. Unfortunately they resort to force to get the men they need, increasing Unrest by ",RANDBETWEEN(1,4),".")</f>
        <v>A group of adventurers enters the city in search of mercenaries and porters to assist in their quest. Unfortunately they resort to force to get the men they need, increasing Unrest by 1.</v>
      </c>
      <c r="L75" s="153"/>
    </row>
    <row r="76" spans="1:12" ht="60" x14ac:dyDescent="0.25">
      <c r="A76" s="188">
        <f t="shared" si="3"/>
        <v>64</v>
      </c>
      <c r="B76" s="188" t="s">
        <v>325</v>
      </c>
      <c r="C76" s="193" t="s">
        <v>331</v>
      </c>
      <c r="L76" s="153"/>
    </row>
    <row r="77" spans="1:12" ht="30" x14ac:dyDescent="0.25">
      <c r="A77" s="188">
        <f t="shared" si="3"/>
        <v>65</v>
      </c>
      <c r="B77" s="188" t="s">
        <v>430</v>
      </c>
      <c r="C77" s="254" t="s">
        <v>1176</v>
      </c>
      <c r="L77" s="153"/>
    </row>
    <row r="78" spans="1:12" ht="90" x14ac:dyDescent="0.25">
      <c r="A78" s="188">
        <f t="shared" si="3"/>
        <v>66</v>
      </c>
      <c r="B78" s="188" t="s">
        <v>312</v>
      </c>
      <c r="C78" s="257" t="str">
        <f ca="1">CONCATENATE("The ",VLOOKUP(RANDBETWEEN(1,11),'Drop Down'!M14:N24,2)," is the target of an assassination attempt. If the target is a PC,"," you should play out the attempt, using an assassin of a CR equal to the targeted PC’s level + 1. If the target is an NPC, you can simply make a Stability check to negate the attempt. If the leader is assassinated, the nation gains ",RANDBETWEEN(1,6)," Unrest points and immediately suffers the penalties for not having a leader in that role until the role is filled during a subsequent Improvement phase.")</f>
        <v>The Royal Assassin is the target of an assassination attempt. If the target is a PC, you should play out the attempt, using an assassin of a CR equal to the targeted PC’s level + 1. If the target is an NPC, you can simply make a Stability check to negate the attempt. If the leader is assassinated, the nation gains 4 Unrest points and immediately suffers the penalties for not having a leader in that role until the role is filled during a subsequent Improvement phase.</v>
      </c>
      <c r="L78" s="153"/>
    </row>
    <row r="79" spans="1:12" ht="30" x14ac:dyDescent="0.25">
      <c r="A79" s="188">
        <f t="shared" ref="A79:A93" si="4">A78+1</f>
        <v>67</v>
      </c>
      <c r="B79" s="254" t="s">
        <v>1230</v>
      </c>
      <c r="C79" s="254" t="s">
        <v>1338</v>
      </c>
      <c r="L79" s="153"/>
    </row>
    <row r="80" spans="1:12" ht="75" x14ac:dyDescent="0.25">
      <c r="A80" s="188">
        <f t="shared" si="4"/>
        <v>68</v>
      </c>
      <c r="B80" s="188" t="s">
        <v>399</v>
      </c>
      <c r="C80" s="193" t="s">
        <v>1341</v>
      </c>
      <c r="L80" s="153"/>
    </row>
    <row r="81" spans="1:12" ht="30" x14ac:dyDescent="0.25">
      <c r="A81" s="188">
        <f t="shared" si="4"/>
        <v>69</v>
      </c>
      <c r="B81" s="161" t="s">
        <v>1233</v>
      </c>
      <c r="C81" s="161" t="str">
        <f ca="1">CONCATENATE("[CONTINUOUS] The ",VLOOKUP(RANDBETWEEN(1,11),'Drop Down'!$M$14:$N$24,2)," comes down with some form of sickness or poisoning. Until a cure is found, that post confers no bonus to the kingdom.")</f>
        <v>[CONTINUOUS] The Magister comes down with some form of sickness or poisoning. Until a cure is found, that post confers no bonus to the kingdom.</v>
      </c>
      <c r="L81" s="153"/>
    </row>
    <row r="82" spans="1:12" ht="90" x14ac:dyDescent="0.25">
      <c r="A82" s="188">
        <f t="shared" si="4"/>
        <v>70</v>
      </c>
      <c r="B82" s="188" t="s">
        <v>310</v>
      </c>
      <c r="C82" s="193" t="s">
        <v>1332</v>
      </c>
      <c r="L82" s="153"/>
    </row>
    <row r="83" spans="1:12" ht="45" x14ac:dyDescent="0.25">
      <c r="A83" s="188">
        <f t="shared" si="4"/>
        <v>71</v>
      </c>
      <c r="B83" s="188" t="s">
        <v>313</v>
      </c>
      <c r="C83" s="193" t="s">
        <v>1333</v>
      </c>
      <c r="L83" s="153"/>
    </row>
    <row r="84" spans="1:12" ht="60" x14ac:dyDescent="0.25">
      <c r="A84" s="188">
        <f t="shared" si="4"/>
        <v>72</v>
      </c>
      <c r="B84" s="188" t="s">
        <v>309</v>
      </c>
      <c r="C84" s="258" t="s">
        <v>1334</v>
      </c>
      <c r="L84" s="153"/>
    </row>
    <row r="85" spans="1:12" ht="45" x14ac:dyDescent="0.25">
      <c r="A85" s="188">
        <f t="shared" si="4"/>
        <v>73</v>
      </c>
      <c r="B85" s="188" t="s">
        <v>308</v>
      </c>
      <c r="C85" s="193" t="s">
        <v>1335</v>
      </c>
      <c r="L85" s="153"/>
    </row>
    <row r="86" spans="1:12" ht="45" x14ac:dyDescent="0.25">
      <c r="A86" s="188">
        <f t="shared" si="4"/>
        <v>74</v>
      </c>
      <c r="B86" s="188" t="s">
        <v>402</v>
      </c>
      <c r="C86" s="254" t="s">
        <v>1181</v>
      </c>
      <c r="L86" s="153"/>
    </row>
    <row r="87" spans="1:12" ht="30" x14ac:dyDescent="0.25">
      <c r="A87" s="188">
        <f t="shared" si="4"/>
        <v>75</v>
      </c>
      <c r="B87" s="188" t="s">
        <v>307</v>
      </c>
      <c r="C87" s="193" t="s">
        <v>1336</v>
      </c>
      <c r="L87" s="153"/>
    </row>
    <row r="88" spans="1:12" ht="60" x14ac:dyDescent="0.25">
      <c r="A88" s="188">
        <f t="shared" si="4"/>
        <v>76</v>
      </c>
      <c r="B88" s="188" t="s">
        <v>306</v>
      </c>
      <c r="C88" s="257" t="str">
        <f ca="1">CONCATENATE("The ",VLOOKUP(RANDBETWEEN(1,11),'Drop Down'!M14:N24,2)," is implicated (rightly or wrongly) in a crime or an embarrassing situation, such as an affair with another leader’s spouse. If you fail a Loyalty check, increase Unrest by 2 and suffer a –4 penalty on all Loyalty checks until your next Event phase.")</f>
        <v>The Warden is implicated (rightly or wrongly) in a crime or an embarrassing situation, such as an affair with another leader’s spouse. If you fail a Loyalty check, increase Unrest by 2 and suffer a –4 penalty on all Loyalty checks until your next Event phase.</v>
      </c>
      <c r="L88" s="153"/>
    </row>
    <row r="89" spans="1:12" ht="30" x14ac:dyDescent="0.25">
      <c r="A89" s="188">
        <f t="shared" si="4"/>
        <v>77</v>
      </c>
      <c r="B89" s="188" t="s">
        <v>287</v>
      </c>
      <c r="C89" s="193" t="s">
        <v>1340</v>
      </c>
      <c r="L89" s="153"/>
    </row>
    <row r="90" spans="1:12" ht="60" x14ac:dyDescent="0.25">
      <c r="A90" s="188">
        <f t="shared" si="4"/>
        <v>78</v>
      </c>
      <c r="B90" s="188" t="s">
        <v>288</v>
      </c>
      <c r="C90" s="257" t="str">
        <f ca="1">CONCATENATE("[NO GRAND DIPLOMAT = NON-EVENT] The Grand Diplomat secures a trade agreement with a neighboring kingdom that you are currently not at war with. Roll an Economy check. If you succeed, add ",RANDBETWEEN(2,4)," BP to your kingdom’s Treasury. If you fail, add 1 BP to your kingdom’s Treasury.")</f>
        <v>[NO GRAND DIPLOMAT = NON-EVENT] The Grand Diplomat secures a trade agreement with a neighboring kingdom that you are currently not at war with. Roll an Economy check. If you succeed, add 2 BP to your kingdom’s Treasury. If you fail, add 1 BP to your kingdom’s Treasury.</v>
      </c>
      <c r="L90" s="153"/>
    </row>
    <row r="91" spans="1:12" ht="45" x14ac:dyDescent="0.25">
      <c r="A91" s="188">
        <f t="shared" si="4"/>
        <v>79</v>
      </c>
      <c r="B91" s="188" t="s">
        <v>437</v>
      </c>
      <c r="C91" s="254" t="str">
        <f ca="1">CONCATENATE("[NO WARDEN = NON-EVENT] The Warden leads the City Guard on military manoeuvers to improve their combat skills. Add ",RANDBETWEEN(1,6)+1," to Defence and Stability until the end of the next Event phase.")</f>
        <v>[NO WARDEN = NON-EVENT] The Warden leads the City Guard on military manoeuvers to improve their combat skills. Add 4 to Defence and Stability until the end of the next Event phase.</v>
      </c>
      <c r="L91" s="153"/>
    </row>
    <row r="92" spans="1:12" ht="30" x14ac:dyDescent="0.25">
      <c r="A92" s="188">
        <f t="shared" si="4"/>
        <v>80</v>
      </c>
      <c r="B92" s="188" t="s">
        <v>311</v>
      </c>
      <c r="C92" s="257" t="str">
        <f ca="1">CONCATENATE("Nobles in your cities are bickering. Unless you can smooth over ruffled feathers with a Loyalty check, the feud increases Unrest by ",RANDBETWEEN(1,6),".")</f>
        <v>Nobles in your cities are bickering. Unless you can smooth over ruffled feathers with a Loyalty check, the feud increases Unrest by 3.</v>
      </c>
      <c r="L92" s="153"/>
    </row>
    <row r="93" spans="1:12" x14ac:dyDescent="0.25">
      <c r="A93" s="188">
        <f t="shared" si="4"/>
        <v>81</v>
      </c>
      <c r="B93" s="153" t="s">
        <v>1701</v>
      </c>
      <c r="C93" s="153" t="s">
        <v>1700</v>
      </c>
      <c r="L93" s="153"/>
    </row>
    <row r="94" spans="1:12" x14ac:dyDescent="0.25">
      <c r="D94" s="188"/>
      <c r="E94" s="188"/>
      <c r="L94" s="153"/>
    </row>
    <row r="95" spans="1:12" x14ac:dyDescent="0.25">
      <c r="D95" s="188"/>
      <c r="E95" s="188"/>
      <c r="I95" s="153"/>
      <c r="J95" s="161"/>
      <c r="L95" s="153"/>
    </row>
    <row r="96" spans="1:12" x14ac:dyDescent="0.25">
      <c r="D96" s="188"/>
      <c r="E96" s="188"/>
      <c r="I96" s="153"/>
      <c r="L96" s="153"/>
    </row>
    <row r="97" spans="1:12" x14ac:dyDescent="0.25">
      <c r="A97" s="188"/>
      <c r="B97" s="188"/>
      <c r="C97" s="254"/>
      <c r="D97" s="188"/>
      <c r="E97" s="188"/>
      <c r="I97" s="153"/>
      <c r="L97" s="153"/>
    </row>
    <row r="98" spans="1:12" x14ac:dyDescent="0.25">
      <c r="A98" s="188"/>
      <c r="B98" s="161"/>
      <c r="I98" s="153"/>
      <c r="L98" s="153"/>
    </row>
    <row r="99" spans="1:12" x14ac:dyDescent="0.25">
      <c r="A99" s="188"/>
      <c r="B99" s="188"/>
      <c r="C99" s="257"/>
      <c r="D99" s="188"/>
      <c r="E99" s="188"/>
      <c r="I99" s="153"/>
      <c r="L99" s="153"/>
    </row>
    <row r="100" spans="1:12" x14ac:dyDescent="0.25">
      <c r="A100" s="188"/>
      <c r="B100" s="161"/>
      <c r="I100" s="153"/>
      <c r="L100" s="153"/>
    </row>
    <row r="101" spans="1:12" x14ac:dyDescent="0.25">
      <c r="D101" s="188"/>
      <c r="E101" s="188"/>
      <c r="I101" s="153"/>
      <c r="L101" s="153"/>
    </row>
    <row r="102" spans="1:12" x14ac:dyDescent="0.25">
      <c r="D102" s="188"/>
      <c r="E102" s="188"/>
      <c r="I102" s="153"/>
      <c r="L102" s="153"/>
    </row>
    <row r="103" spans="1:12" x14ac:dyDescent="0.25">
      <c r="D103" s="188"/>
      <c r="E103" s="188"/>
      <c r="I103" s="153"/>
      <c r="L103" s="153"/>
    </row>
    <row r="104" spans="1:12" x14ac:dyDescent="0.25">
      <c r="A104" s="188"/>
      <c r="B104" s="188"/>
      <c r="C104" s="254"/>
      <c r="D104" s="188"/>
      <c r="E104" s="188"/>
      <c r="I104" s="153"/>
      <c r="L104" s="153"/>
    </row>
    <row r="105" spans="1:12" x14ac:dyDescent="0.25">
      <c r="D105" s="188"/>
      <c r="E105" s="188"/>
      <c r="I105" s="153"/>
      <c r="L105" s="153"/>
    </row>
    <row r="106" spans="1:12" x14ac:dyDescent="0.25">
      <c r="A106" s="188"/>
      <c r="B106" s="161"/>
      <c r="I106" s="153"/>
      <c r="L106" s="153"/>
    </row>
    <row r="107" spans="1:12" x14ac:dyDescent="0.25">
      <c r="A107" s="188"/>
      <c r="B107" s="161"/>
      <c r="I107" s="153"/>
      <c r="L107" s="153"/>
    </row>
    <row r="108" spans="1:12" x14ac:dyDescent="0.25">
      <c r="A108" s="188"/>
      <c r="B108" s="188"/>
      <c r="C108" s="193"/>
      <c r="D108" s="188"/>
      <c r="E108" s="188"/>
      <c r="I108" s="153"/>
      <c r="L108" s="153"/>
    </row>
    <row r="109" spans="1:12" x14ac:dyDescent="0.25">
      <c r="A109" s="188"/>
      <c r="B109" s="188"/>
      <c r="C109" s="193"/>
      <c r="D109" s="188"/>
      <c r="E109" s="188"/>
      <c r="I109" s="153"/>
      <c r="L109" s="153"/>
    </row>
    <row r="110" spans="1:12" x14ac:dyDescent="0.25">
      <c r="A110" s="188"/>
      <c r="B110" s="161"/>
      <c r="I110" s="153"/>
      <c r="L110" s="153"/>
    </row>
    <row r="111" spans="1:12" x14ac:dyDescent="0.25">
      <c r="D111" s="188"/>
      <c r="E111" s="188"/>
      <c r="I111" s="153"/>
      <c r="L111" s="153"/>
    </row>
    <row r="112" spans="1:12" x14ac:dyDescent="0.25">
      <c r="D112" s="188"/>
      <c r="E112" s="188"/>
      <c r="I112" s="153"/>
      <c r="L112" s="153"/>
    </row>
    <row r="113" spans="1:12" x14ac:dyDescent="0.25">
      <c r="D113" s="188"/>
      <c r="E113" s="188"/>
      <c r="I113" s="153"/>
      <c r="L113" s="153"/>
    </row>
    <row r="114" spans="1:12" x14ac:dyDescent="0.25">
      <c r="A114" s="188"/>
      <c r="B114" s="188"/>
      <c r="C114" s="254"/>
      <c r="D114" s="188"/>
      <c r="E114" s="188"/>
      <c r="I114" s="153"/>
      <c r="L114" s="153"/>
    </row>
    <row r="115" spans="1:12" x14ac:dyDescent="0.25">
      <c r="D115" s="188"/>
      <c r="E115" s="188"/>
      <c r="I115" s="153"/>
      <c r="L115" s="153"/>
    </row>
    <row r="116" spans="1:12" x14ac:dyDescent="0.25">
      <c r="I116" s="153"/>
      <c r="L116" s="153"/>
    </row>
    <row r="117" spans="1:12" x14ac:dyDescent="0.25">
      <c r="A117" s="188"/>
      <c r="B117" s="161"/>
      <c r="I117" s="153"/>
      <c r="L117" s="153"/>
    </row>
    <row r="118" spans="1:12" x14ac:dyDescent="0.25">
      <c r="D118" s="188"/>
      <c r="E118" s="188"/>
      <c r="I118" s="153"/>
      <c r="L118" s="153"/>
    </row>
    <row r="119" spans="1:12" x14ac:dyDescent="0.25">
      <c r="D119" s="188"/>
      <c r="E119" s="188"/>
      <c r="I119" s="153"/>
      <c r="L119" s="153"/>
    </row>
    <row r="120" spans="1:12" x14ac:dyDescent="0.25">
      <c r="D120" s="188"/>
      <c r="E120" s="188"/>
      <c r="I120" s="153"/>
      <c r="L120" s="153"/>
    </row>
    <row r="121" spans="1:12" x14ac:dyDescent="0.25">
      <c r="D121" s="188"/>
      <c r="E121" s="188"/>
      <c r="I121" s="153"/>
      <c r="L121" s="153"/>
    </row>
    <row r="122" spans="1:12" x14ac:dyDescent="0.25">
      <c r="A122" s="188"/>
      <c r="B122" s="188"/>
      <c r="C122" s="254"/>
      <c r="D122" s="188"/>
      <c r="E122" s="188"/>
      <c r="I122" s="153"/>
      <c r="L122" s="153"/>
    </row>
    <row r="123" spans="1:12" x14ac:dyDescent="0.25">
      <c r="A123" s="188"/>
      <c r="B123" s="188"/>
      <c r="C123" s="254"/>
      <c r="D123" s="188"/>
      <c r="E123" s="188"/>
      <c r="I123" s="153"/>
      <c r="L123" s="153"/>
    </row>
    <row r="124" spans="1:12" x14ac:dyDescent="0.25">
      <c r="A124" s="188"/>
      <c r="B124" s="188"/>
      <c r="C124" s="254"/>
      <c r="D124" s="188"/>
      <c r="E124" s="188"/>
      <c r="I124" s="153"/>
      <c r="L124" s="153"/>
    </row>
    <row r="125" spans="1:12" x14ac:dyDescent="0.25">
      <c r="A125" s="188"/>
      <c r="B125" s="188"/>
      <c r="C125" s="254"/>
      <c r="D125" s="188"/>
      <c r="E125" s="188"/>
      <c r="I125" s="153"/>
      <c r="L125" s="153"/>
    </row>
    <row r="126" spans="1:12" x14ac:dyDescent="0.25">
      <c r="A126" s="188"/>
      <c r="B126" s="188"/>
      <c r="C126" s="254"/>
      <c r="D126" s="188"/>
      <c r="E126" s="188"/>
      <c r="I126" s="153"/>
      <c r="L126" s="153"/>
    </row>
    <row r="127" spans="1:12" x14ac:dyDescent="0.25">
      <c r="A127" s="188"/>
      <c r="B127" s="188"/>
      <c r="C127" s="270"/>
      <c r="D127" s="188"/>
      <c r="E127" s="188"/>
      <c r="I127" s="153"/>
      <c r="L127" s="153"/>
    </row>
    <row r="128" spans="1:12" x14ac:dyDescent="0.25">
      <c r="A128" s="188"/>
      <c r="B128" s="271"/>
      <c r="C128" s="272"/>
      <c r="D128" s="188"/>
      <c r="E128" s="188"/>
      <c r="I128" s="153"/>
      <c r="L128" s="153"/>
    </row>
    <row r="129" spans="1:12" x14ac:dyDescent="0.25">
      <c r="A129" s="188"/>
      <c r="B129" s="271"/>
      <c r="C129" s="272"/>
      <c r="D129" s="188"/>
      <c r="E129" s="188"/>
      <c r="I129" s="153"/>
      <c r="L129" s="153"/>
    </row>
    <row r="130" spans="1:12" x14ac:dyDescent="0.25">
      <c r="A130" s="188"/>
      <c r="B130" s="271"/>
      <c r="C130" s="272"/>
      <c r="D130" s="188"/>
      <c r="E130" s="188"/>
      <c r="I130" s="153"/>
      <c r="L130" s="153"/>
    </row>
    <row r="131" spans="1:12" x14ac:dyDescent="0.25">
      <c r="A131" s="188"/>
      <c r="B131" s="271"/>
      <c r="C131" s="272"/>
      <c r="D131" s="188"/>
      <c r="E131" s="188"/>
      <c r="I131" s="153"/>
      <c r="L131" s="153"/>
    </row>
    <row r="132" spans="1:12" x14ac:dyDescent="0.25">
      <c r="A132" s="188"/>
      <c r="B132" s="271"/>
      <c r="C132" s="272"/>
      <c r="D132" s="188"/>
      <c r="E132" s="188"/>
      <c r="I132" s="153"/>
      <c r="L132" s="153"/>
    </row>
    <row r="133" spans="1:12" x14ac:dyDescent="0.25">
      <c r="A133" s="188"/>
      <c r="B133" s="271"/>
      <c r="C133" s="272"/>
      <c r="D133" s="271"/>
      <c r="E133" s="273"/>
      <c r="F133" s="271"/>
      <c r="G133" s="272"/>
      <c r="I133" s="153"/>
      <c r="L133" s="153"/>
    </row>
    <row r="134" spans="1:12" x14ac:dyDescent="0.25">
      <c r="A134" s="188"/>
      <c r="B134" s="274"/>
      <c r="C134" s="272"/>
      <c r="D134" s="271"/>
      <c r="E134" s="273"/>
      <c r="F134" s="271"/>
      <c r="G134" s="272"/>
      <c r="I134" s="153"/>
      <c r="L134" s="153"/>
    </row>
    <row r="135" spans="1:12" x14ac:dyDescent="0.25">
      <c r="A135" s="188"/>
      <c r="B135" s="271"/>
      <c r="C135" s="273"/>
      <c r="D135" s="271"/>
      <c r="E135" s="273"/>
      <c r="F135" s="271"/>
      <c r="G135" s="272"/>
      <c r="I135" s="153"/>
      <c r="L135" s="153"/>
    </row>
    <row r="136" spans="1:12" x14ac:dyDescent="0.25">
      <c r="A136" s="188"/>
      <c r="B136" s="274"/>
      <c r="C136" s="272"/>
      <c r="D136" s="271"/>
      <c r="E136" s="273"/>
      <c r="F136" s="271"/>
      <c r="G136" s="272"/>
      <c r="I136" s="153"/>
      <c r="L136" s="153"/>
    </row>
    <row r="137" spans="1:12" x14ac:dyDescent="0.25">
      <c r="A137" s="188"/>
      <c r="B137" s="274"/>
      <c r="C137" s="272"/>
      <c r="D137" s="271"/>
      <c r="E137" s="273"/>
      <c r="I137" s="153"/>
      <c r="L137" s="153"/>
    </row>
    <row r="138" spans="1:12" x14ac:dyDescent="0.25">
      <c r="A138" s="188"/>
      <c r="B138" s="274"/>
      <c r="C138" s="273"/>
      <c r="D138" s="271"/>
      <c r="E138" s="273"/>
      <c r="I138" s="153"/>
      <c r="L138" s="153"/>
    </row>
    <row r="139" spans="1:12" x14ac:dyDescent="0.25">
      <c r="A139" s="188"/>
      <c r="B139" s="274"/>
      <c r="C139" s="272"/>
      <c r="D139" s="271"/>
      <c r="E139" s="272"/>
      <c r="I139" s="153"/>
      <c r="L139" s="153"/>
    </row>
    <row r="140" spans="1:12" x14ac:dyDescent="0.25">
      <c r="A140" s="188"/>
      <c r="B140" s="274"/>
      <c r="C140" s="272"/>
      <c r="D140" s="271"/>
      <c r="E140" s="273"/>
      <c r="I140" s="153"/>
      <c r="L140" s="153"/>
    </row>
    <row r="141" spans="1:12" ht="127.5" customHeight="1" x14ac:dyDescent="0.25">
      <c r="A141" s="188"/>
      <c r="B141" s="274"/>
      <c r="C141" s="272"/>
      <c r="D141" s="188"/>
      <c r="E141" s="188"/>
      <c r="I141" s="153"/>
      <c r="L141" s="153"/>
    </row>
    <row r="142" spans="1:12" x14ac:dyDescent="0.25">
      <c r="A142" s="188"/>
      <c r="B142" s="274"/>
      <c r="C142" s="272"/>
      <c r="D142" s="188"/>
      <c r="E142" s="188"/>
      <c r="I142" s="153"/>
      <c r="L142" s="153"/>
    </row>
    <row r="143" spans="1:12" x14ac:dyDescent="0.25">
      <c r="A143" s="188"/>
      <c r="B143" s="274"/>
      <c r="C143" s="272"/>
      <c r="D143" s="188"/>
      <c r="E143" s="188"/>
      <c r="I143" s="153"/>
      <c r="L143" s="153"/>
    </row>
    <row r="144" spans="1:12" x14ac:dyDescent="0.25">
      <c r="A144" s="188"/>
      <c r="B144" s="274"/>
      <c r="C144" s="272"/>
      <c r="D144" s="273"/>
      <c r="E144" s="273"/>
      <c r="I144" s="153"/>
      <c r="L144" s="153"/>
    </row>
    <row r="145" spans="1:12" x14ac:dyDescent="0.25">
      <c r="A145" s="188"/>
      <c r="B145" s="274"/>
      <c r="C145" s="273"/>
      <c r="D145" s="273"/>
      <c r="E145" s="273"/>
      <c r="I145" s="153"/>
      <c r="L145" s="153"/>
    </row>
    <row r="146" spans="1:12" x14ac:dyDescent="0.25">
      <c r="A146" s="188"/>
      <c r="B146" s="271"/>
      <c r="C146" s="272"/>
      <c r="D146" s="273"/>
      <c r="E146" s="273"/>
      <c r="I146" s="153"/>
      <c r="L146" s="153"/>
    </row>
    <row r="147" spans="1:12" x14ac:dyDescent="0.25">
      <c r="A147" s="188"/>
      <c r="B147" s="271"/>
      <c r="C147" s="273"/>
      <c r="D147" s="273"/>
      <c r="E147" s="272"/>
      <c r="I147" s="153"/>
      <c r="L147" s="153"/>
    </row>
    <row r="148" spans="1:12" x14ac:dyDescent="0.25">
      <c r="A148" s="188"/>
      <c r="B148" s="271"/>
      <c r="C148" s="272"/>
      <c r="D148" s="188"/>
      <c r="E148" s="188"/>
      <c r="I148" s="153"/>
      <c r="L148" s="153"/>
    </row>
    <row r="149" spans="1:12" x14ac:dyDescent="0.25">
      <c r="A149" s="188"/>
      <c r="B149" s="271"/>
      <c r="C149" s="272"/>
      <c r="D149" s="188"/>
      <c r="E149" s="188"/>
      <c r="I149" s="153"/>
      <c r="L149" s="153"/>
    </row>
    <row r="150" spans="1:12" x14ac:dyDescent="0.25">
      <c r="A150" s="188"/>
      <c r="B150" s="271"/>
      <c r="C150" s="272"/>
      <c r="D150" s="188"/>
      <c r="E150" s="188"/>
      <c r="I150" s="153"/>
      <c r="L150" s="153"/>
    </row>
    <row r="151" spans="1:12" x14ac:dyDescent="0.25">
      <c r="A151" s="188"/>
      <c r="B151" s="271"/>
      <c r="C151" s="272"/>
      <c r="D151" s="188"/>
      <c r="E151" s="188"/>
      <c r="I151" s="153"/>
      <c r="L151" s="153"/>
    </row>
    <row r="152" spans="1:12" x14ac:dyDescent="0.25">
      <c r="A152" s="188"/>
      <c r="B152" s="271"/>
      <c r="C152" s="272"/>
      <c r="D152" s="188"/>
      <c r="E152" s="188"/>
      <c r="I152" s="153"/>
      <c r="L152" s="153"/>
    </row>
    <row r="153" spans="1:12" x14ac:dyDescent="0.25">
      <c r="A153" s="188"/>
      <c r="B153" s="271"/>
      <c r="C153" s="272"/>
      <c r="D153" s="188"/>
      <c r="E153" s="188"/>
      <c r="I153" s="153"/>
      <c r="L153" s="153"/>
    </row>
    <row r="154" spans="1:12" ht="113.25" customHeight="1" x14ac:dyDescent="0.25">
      <c r="A154" s="188"/>
      <c r="B154" s="271"/>
      <c r="C154" s="272"/>
      <c r="D154" s="271"/>
      <c r="E154" s="272"/>
      <c r="I154" s="153"/>
      <c r="L154" s="153"/>
    </row>
    <row r="155" spans="1:12" x14ac:dyDescent="0.25">
      <c r="A155" s="188"/>
      <c r="B155" s="271"/>
      <c r="C155" s="272"/>
      <c r="D155" s="271"/>
      <c r="E155" s="272"/>
      <c r="I155" s="153"/>
      <c r="L155" s="153"/>
    </row>
    <row r="156" spans="1:12" x14ac:dyDescent="0.25">
      <c r="A156" s="188"/>
      <c r="B156" s="271"/>
      <c r="C156" s="272"/>
      <c r="D156" s="271"/>
      <c r="E156" s="272"/>
      <c r="I156" s="153"/>
      <c r="L156" s="153"/>
    </row>
    <row r="157" spans="1:12" x14ac:dyDescent="0.25">
      <c r="A157" s="188"/>
      <c r="B157" s="271"/>
      <c r="C157" s="272"/>
      <c r="D157" s="271"/>
      <c r="E157" s="271"/>
      <c r="I157" s="153"/>
      <c r="L157" s="153"/>
    </row>
    <row r="158" spans="1:12" x14ac:dyDescent="0.25">
      <c r="A158" s="188"/>
      <c r="B158" s="254"/>
      <c r="C158" s="254"/>
      <c r="D158" s="271"/>
      <c r="E158" s="271"/>
      <c r="I158" s="153"/>
      <c r="L158" s="153"/>
    </row>
    <row r="159" spans="1:12" x14ac:dyDescent="0.25">
      <c r="A159" s="188"/>
      <c r="D159" s="271"/>
      <c r="E159" s="271"/>
      <c r="I159" s="153"/>
      <c r="L159" s="153"/>
    </row>
    <row r="160" spans="1:12" x14ac:dyDescent="0.25">
      <c r="A160" s="188"/>
      <c r="D160" s="271"/>
      <c r="E160" s="271"/>
      <c r="I160" s="153"/>
      <c r="L160" s="153"/>
    </row>
    <row r="161" spans="1:12" x14ac:dyDescent="0.25">
      <c r="A161" s="188"/>
      <c r="D161" s="271"/>
      <c r="E161" s="271"/>
      <c r="I161" s="153"/>
      <c r="L161" s="153"/>
    </row>
    <row r="162" spans="1:12" x14ac:dyDescent="0.25">
      <c r="A162" s="188"/>
      <c r="D162" s="271"/>
      <c r="E162" s="271"/>
      <c r="I162" s="153"/>
      <c r="L162" s="153"/>
    </row>
    <row r="163" spans="1:12" x14ac:dyDescent="0.25">
      <c r="A163" s="188"/>
      <c r="D163" s="271"/>
      <c r="E163" s="271"/>
      <c r="I163" s="153"/>
      <c r="L163" s="153"/>
    </row>
    <row r="164" spans="1:12" x14ac:dyDescent="0.25">
      <c r="A164" s="188"/>
      <c r="D164" s="271"/>
      <c r="E164" s="271"/>
      <c r="I164" s="153"/>
      <c r="L164" s="153"/>
    </row>
    <row r="165" spans="1:12" x14ac:dyDescent="0.25">
      <c r="A165" s="188"/>
      <c r="D165" s="271"/>
      <c r="E165" s="271"/>
      <c r="I165" s="153"/>
      <c r="L165" s="153"/>
    </row>
    <row r="166" spans="1:12" x14ac:dyDescent="0.25">
      <c r="A166" s="188"/>
      <c r="D166" s="271"/>
      <c r="E166" s="271"/>
      <c r="I166" s="153"/>
      <c r="L166" s="153"/>
    </row>
    <row r="167" spans="1:12" x14ac:dyDescent="0.25">
      <c r="A167" s="188"/>
      <c r="I167" s="153"/>
      <c r="L167" s="153"/>
    </row>
    <row r="168" spans="1:12" x14ac:dyDescent="0.25">
      <c r="A168" s="188"/>
      <c r="B168" s="188"/>
      <c r="C168" s="254"/>
      <c r="I168" s="153"/>
      <c r="L168" s="153"/>
    </row>
    <row r="169" spans="1:12" x14ac:dyDescent="0.25">
      <c r="A169" s="188">
        <v>999</v>
      </c>
      <c r="B169" s="188" t="s">
        <v>434</v>
      </c>
      <c r="C169" s="254" t="s">
        <v>1174</v>
      </c>
      <c r="I169" s="153"/>
      <c r="L169" s="153"/>
    </row>
    <row r="170" spans="1:12" x14ac:dyDescent="0.25">
      <c r="A170" s="188">
        <v>999</v>
      </c>
      <c r="B170" s="254" t="s">
        <v>1023</v>
      </c>
      <c r="C170" s="254" t="s">
        <v>1174</v>
      </c>
      <c r="I170" s="153"/>
      <c r="L170" s="153"/>
    </row>
    <row r="171" spans="1:12" x14ac:dyDescent="0.25">
      <c r="A171" s="188">
        <v>999</v>
      </c>
      <c r="B171" s="254" t="s">
        <v>886</v>
      </c>
      <c r="C171" s="254" t="s">
        <v>1174</v>
      </c>
      <c r="I171" s="153"/>
      <c r="L171" s="153"/>
    </row>
    <row r="172" spans="1:12" x14ac:dyDescent="0.25">
      <c r="A172" s="188">
        <v>999</v>
      </c>
      <c r="B172" s="254" t="s">
        <v>874</v>
      </c>
      <c r="C172" s="254" t="s">
        <v>1174</v>
      </c>
      <c r="I172" s="153"/>
      <c r="L172" s="153"/>
    </row>
    <row r="173" spans="1:12" x14ac:dyDescent="0.25">
      <c r="A173" s="188">
        <v>999</v>
      </c>
      <c r="B173" s="254" t="s">
        <v>881</v>
      </c>
      <c r="C173" s="254" t="s">
        <v>1174</v>
      </c>
      <c r="I173" s="153"/>
      <c r="L173" s="153"/>
    </row>
    <row r="174" spans="1:12" x14ac:dyDescent="0.25">
      <c r="A174" s="188">
        <v>999</v>
      </c>
      <c r="B174" s="254" t="s">
        <v>1108</v>
      </c>
      <c r="C174" s="254" t="s">
        <v>1174</v>
      </c>
      <c r="I174" s="153"/>
      <c r="L174" s="153"/>
    </row>
    <row r="175" spans="1:12" x14ac:dyDescent="0.25">
      <c r="A175" s="188">
        <v>999</v>
      </c>
      <c r="B175" s="254" t="s">
        <v>905</v>
      </c>
      <c r="C175" s="254" t="s">
        <v>1174</v>
      </c>
      <c r="I175" s="153"/>
      <c r="L175" s="153"/>
    </row>
    <row r="176" spans="1:12" x14ac:dyDescent="0.25">
      <c r="A176" s="188">
        <v>999</v>
      </c>
      <c r="B176" s="254" t="s">
        <v>887</v>
      </c>
      <c r="C176" s="254" t="s">
        <v>1174</v>
      </c>
      <c r="I176" s="153"/>
      <c r="L176" s="153"/>
    </row>
    <row r="177" spans="1:12" x14ac:dyDescent="0.25">
      <c r="A177" s="188">
        <v>999</v>
      </c>
      <c r="B177" s="254" t="s">
        <v>862</v>
      </c>
      <c r="C177" s="254" t="s">
        <v>1174</v>
      </c>
      <c r="I177" s="153"/>
      <c r="L177" s="153"/>
    </row>
    <row r="178" spans="1:12" x14ac:dyDescent="0.25">
      <c r="A178" s="188">
        <v>999</v>
      </c>
      <c r="B178" s="254" t="s">
        <v>1113</v>
      </c>
      <c r="C178" s="254" t="s">
        <v>1174</v>
      </c>
      <c r="I178" s="153"/>
      <c r="L178" s="153"/>
    </row>
    <row r="179" spans="1:12" x14ac:dyDescent="0.25">
      <c r="A179" s="188">
        <v>999</v>
      </c>
      <c r="B179" s="254" t="s">
        <v>1039</v>
      </c>
      <c r="C179" s="254" t="s">
        <v>1174</v>
      </c>
      <c r="I179" s="153"/>
      <c r="L179" s="153"/>
    </row>
    <row r="180" spans="1:12" x14ac:dyDescent="0.25">
      <c r="A180" s="188">
        <v>999</v>
      </c>
      <c r="B180" s="254" t="s">
        <v>981</v>
      </c>
      <c r="C180" s="254" t="s">
        <v>1174</v>
      </c>
      <c r="I180" s="153"/>
      <c r="L180" s="153"/>
    </row>
    <row r="181" spans="1:12" x14ac:dyDescent="0.25">
      <c r="A181" s="188">
        <v>999</v>
      </c>
      <c r="B181" s="254" t="s">
        <v>1052</v>
      </c>
      <c r="C181" s="254" t="s">
        <v>1174</v>
      </c>
      <c r="I181" s="153"/>
      <c r="L181" s="153"/>
    </row>
    <row r="182" spans="1:12" x14ac:dyDescent="0.25">
      <c r="A182" s="188">
        <v>999</v>
      </c>
      <c r="B182" s="254" t="s">
        <v>1024</v>
      </c>
      <c r="C182" s="254" t="s">
        <v>1174</v>
      </c>
      <c r="I182" s="153"/>
      <c r="L182" s="153"/>
    </row>
    <row r="183" spans="1:12" x14ac:dyDescent="0.25">
      <c r="A183" s="188">
        <v>999</v>
      </c>
      <c r="B183" s="254" t="s">
        <v>1003</v>
      </c>
      <c r="C183" s="254" t="s">
        <v>1174</v>
      </c>
      <c r="I183" s="153"/>
      <c r="L183" s="153"/>
    </row>
    <row r="184" spans="1:12" x14ac:dyDescent="0.25">
      <c r="A184" s="188">
        <v>999</v>
      </c>
      <c r="B184" s="254" t="s">
        <v>904</v>
      </c>
      <c r="C184" s="254" t="s">
        <v>1174</v>
      </c>
      <c r="I184" s="153"/>
      <c r="L184" s="153"/>
    </row>
    <row r="185" spans="1:12" x14ac:dyDescent="0.25">
      <c r="A185" s="188">
        <v>999</v>
      </c>
      <c r="B185" s="254" t="s">
        <v>941</v>
      </c>
      <c r="C185" s="254" t="s">
        <v>1174</v>
      </c>
      <c r="I185" s="153"/>
      <c r="L185" s="153"/>
    </row>
    <row r="186" spans="1:12" x14ac:dyDescent="0.25">
      <c r="A186" s="188">
        <v>999</v>
      </c>
      <c r="B186" s="254" t="s">
        <v>976</v>
      </c>
      <c r="C186" s="254" t="s">
        <v>1174</v>
      </c>
      <c r="I186" s="153"/>
      <c r="L186" s="153"/>
    </row>
    <row r="187" spans="1:12" x14ac:dyDescent="0.25">
      <c r="A187" s="188">
        <v>999</v>
      </c>
      <c r="B187" s="254" t="s">
        <v>1126</v>
      </c>
      <c r="C187" s="254" t="s">
        <v>1174</v>
      </c>
      <c r="I187" s="153"/>
      <c r="L187" s="153"/>
    </row>
    <row r="188" spans="1:12" x14ac:dyDescent="0.25">
      <c r="A188" s="188">
        <v>999</v>
      </c>
      <c r="B188" s="254" t="s">
        <v>1147</v>
      </c>
      <c r="C188" s="254" t="s">
        <v>1174</v>
      </c>
      <c r="I188" s="153"/>
      <c r="L188" s="153"/>
    </row>
    <row r="189" spans="1:12" x14ac:dyDescent="0.25">
      <c r="A189" s="188">
        <v>999</v>
      </c>
      <c r="B189" s="254" t="s">
        <v>1141</v>
      </c>
      <c r="C189" s="254" t="s">
        <v>1174</v>
      </c>
      <c r="I189" s="153"/>
      <c r="L189" s="153"/>
    </row>
    <row r="190" spans="1:12" x14ac:dyDescent="0.25">
      <c r="A190" s="188">
        <v>999</v>
      </c>
      <c r="B190" s="254" t="s">
        <v>1092</v>
      </c>
      <c r="C190" s="254" t="s">
        <v>1174</v>
      </c>
      <c r="I190" s="153"/>
      <c r="L190" s="153"/>
    </row>
    <row r="191" spans="1:12" x14ac:dyDescent="0.25">
      <c r="A191" s="188">
        <v>999</v>
      </c>
      <c r="B191" s="254" t="s">
        <v>1101</v>
      </c>
      <c r="C191" s="254" t="s">
        <v>1174</v>
      </c>
      <c r="I191" s="153"/>
      <c r="L191" s="153"/>
    </row>
    <row r="192" spans="1:12" x14ac:dyDescent="0.25">
      <c r="A192" s="188">
        <v>999</v>
      </c>
      <c r="B192" s="254" t="s">
        <v>919</v>
      </c>
      <c r="C192" s="254" t="s">
        <v>1174</v>
      </c>
      <c r="I192" s="153"/>
      <c r="L192" s="153"/>
    </row>
    <row r="193" spans="1:12" x14ac:dyDescent="0.25">
      <c r="A193" s="188">
        <v>999</v>
      </c>
      <c r="B193" s="161" t="s">
        <v>1116</v>
      </c>
      <c r="C193" s="161" t="s">
        <v>1174</v>
      </c>
      <c r="I193" s="153"/>
      <c r="L193" s="153"/>
    </row>
    <row r="194" spans="1:12" x14ac:dyDescent="0.25">
      <c r="A194" s="188">
        <v>999</v>
      </c>
      <c r="B194" s="161" t="s">
        <v>989</v>
      </c>
      <c r="C194" s="161" t="s">
        <v>1174</v>
      </c>
      <c r="I194" s="153"/>
      <c r="L194" s="153"/>
    </row>
    <row r="195" spans="1:12" x14ac:dyDescent="0.25">
      <c r="A195" s="188">
        <v>999</v>
      </c>
      <c r="B195" s="161" t="s">
        <v>946</v>
      </c>
      <c r="C195" s="161" t="s">
        <v>1174</v>
      </c>
      <c r="I195" s="153"/>
      <c r="L195" s="153"/>
    </row>
    <row r="196" spans="1:12" x14ac:dyDescent="0.25">
      <c r="A196" s="188">
        <v>999</v>
      </c>
      <c r="B196" s="161" t="s">
        <v>1146</v>
      </c>
      <c r="C196" s="161" t="s">
        <v>1174</v>
      </c>
      <c r="I196" s="153"/>
      <c r="L196" s="153"/>
    </row>
    <row r="197" spans="1:12" x14ac:dyDescent="0.25">
      <c r="A197" s="188">
        <v>999</v>
      </c>
      <c r="B197" s="161" t="s">
        <v>1112</v>
      </c>
      <c r="C197" s="161" t="s">
        <v>1174</v>
      </c>
      <c r="I197" s="153"/>
      <c r="L197" s="153"/>
    </row>
    <row r="198" spans="1:12" x14ac:dyDescent="0.25">
      <c r="A198" s="188">
        <v>999</v>
      </c>
      <c r="B198" s="161" t="s">
        <v>913</v>
      </c>
      <c r="C198" s="161" t="s">
        <v>1174</v>
      </c>
      <c r="I198" s="153"/>
      <c r="L198" s="153"/>
    </row>
    <row r="199" spans="1:12" x14ac:dyDescent="0.25">
      <c r="A199" s="188">
        <v>999</v>
      </c>
      <c r="B199" s="161" t="s">
        <v>949</v>
      </c>
      <c r="C199" s="161" t="s">
        <v>1174</v>
      </c>
      <c r="I199" s="153"/>
      <c r="L199" s="153"/>
    </row>
    <row r="200" spans="1:12" x14ac:dyDescent="0.25">
      <c r="A200" s="188">
        <v>999</v>
      </c>
      <c r="B200" s="161" t="s">
        <v>984</v>
      </c>
      <c r="C200" s="161" t="s">
        <v>1174</v>
      </c>
      <c r="I200" s="153"/>
      <c r="L200" s="153"/>
    </row>
    <row r="201" spans="1:12" x14ac:dyDescent="0.25">
      <c r="A201" s="188">
        <v>999</v>
      </c>
      <c r="B201" s="161" t="s">
        <v>1020</v>
      </c>
      <c r="C201" s="161" t="s">
        <v>1174</v>
      </c>
      <c r="I201" s="153"/>
      <c r="L201" s="153"/>
    </row>
    <row r="202" spans="1:12" x14ac:dyDescent="0.25">
      <c r="A202" s="188">
        <v>999</v>
      </c>
      <c r="B202" s="161" t="s">
        <v>956</v>
      </c>
      <c r="C202" s="161" t="s">
        <v>1174</v>
      </c>
      <c r="I202" s="153"/>
      <c r="L202" s="153"/>
    </row>
    <row r="203" spans="1:12" ht="30" x14ac:dyDescent="0.25">
      <c r="A203" s="188">
        <v>999</v>
      </c>
      <c r="B203" s="161" t="s">
        <v>906</v>
      </c>
      <c r="C203" s="161" t="s">
        <v>1174</v>
      </c>
      <c r="I203" s="153"/>
      <c r="L203" s="153"/>
    </row>
    <row r="204" spans="1:12" x14ac:dyDescent="0.25">
      <c r="A204" s="188">
        <v>999</v>
      </c>
      <c r="B204" s="161" t="s">
        <v>1111</v>
      </c>
      <c r="C204" s="161" t="s">
        <v>1174</v>
      </c>
      <c r="I204" s="153"/>
      <c r="L204" s="153"/>
    </row>
    <row r="205" spans="1:12" x14ac:dyDescent="0.25">
      <c r="A205" s="188">
        <v>999</v>
      </c>
      <c r="B205" s="161" t="s">
        <v>885</v>
      </c>
      <c r="C205" s="161" t="s">
        <v>1174</v>
      </c>
      <c r="I205" s="153"/>
      <c r="L205" s="153"/>
    </row>
    <row r="206" spans="1:12" x14ac:dyDescent="0.25">
      <c r="A206" s="188">
        <v>999</v>
      </c>
      <c r="B206" s="161" t="s">
        <v>1098</v>
      </c>
      <c r="C206" s="161" t="s">
        <v>1174</v>
      </c>
      <c r="I206" s="153"/>
      <c r="L206" s="153"/>
    </row>
    <row r="207" spans="1:12" x14ac:dyDescent="0.25">
      <c r="A207" s="188">
        <v>999</v>
      </c>
      <c r="B207" s="161" t="s">
        <v>852</v>
      </c>
      <c r="C207" s="161" t="s">
        <v>1174</v>
      </c>
      <c r="I207" s="153"/>
      <c r="L207" s="153"/>
    </row>
    <row r="208" spans="1:12" x14ac:dyDescent="0.25">
      <c r="A208" s="188">
        <v>999</v>
      </c>
      <c r="B208" s="161" t="s">
        <v>859</v>
      </c>
      <c r="C208" s="161" t="s">
        <v>1174</v>
      </c>
      <c r="I208" s="153"/>
      <c r="L208" s="153"/>
    </row>
    <row r="209" spans="1:12" ht="30" x14ac:dyDescent="0.25">
      <c r="A209" s="188">
        <v>999</v>
      </c>
      <c r="B209" s="161" t="s">
        <v>1107</v>
      </c>
      <c r="C209" s="161" t="s">
        <v>1174</v>
      </c>
      <c r="I209" s="153"/>
      <c r="L209" s="153"/>
    </row>
    <row r="210" spans="1:12" x14ac:dyDescent="0.25">
      <c r="A210" s="188">
        <v>999</v>
      </c>
      <c r="B210" s="161" t="s">
        <v>998</v>
      </c>
      <c r="C210" s="161" t="s">
        <v>1174</v>
      </c>
      <c r="I210" s="153"/>
      <c r="L210" s="153"/>
    </row>
    <row r="211" spans="1:12" x14ac:dyDescent="0.25">
      <c r="A211" s="188">
        <v>999</v>
      </c>
      <c r="B211" s="161" t="s">
        <v>1142</v>
      </c>
      <c r="C211" s="161" t="s">
        <v>1174</v>
      </c>
      <c r="I211" s="153"/>
      <c r="L211" s="153"/>
    </row>
    <row r="212" spans="1:12" x14ac:dyDescent="0.25">
      <c r="A212" s="188">
        <v>999</v>
      </c>
      <c r="B212" s="161" t="s">
        <v>1124</v>
      </c>
      <c r="C212" s="161" t="s">
        <v>1174</v>
      </c>
      <c r="I212" s="153"/>
      <c r="L212" s="153"/>
    </row>
    <row r="213" spans="1:12" x14ac:dyDescent="0.25">
      <c r="A213" s="188">
        <v>999</v>
      </c>
      <c r="B213" s="161" t="s">
        <v>1045</v>
      </c>
      <c r="C213" s="161" t="s">
        <v>1174</v>
      </c>
      <c r="I213" s="153"/>
      <c r="L213" s="153"/>
    </row>
    <row r="214" spans="1:12" x14ac:dyDescent="0.25">
      <c r="A214" s="188">
        <v>999</v>
      </c>
      <c r="B214" s="161" t="s">
        <v>1064</v>
      </c>
      <c r="C214" s="161" t="s">
        <v>1174</v>
      </c>
      <c r="I214" s="153"/>
      <c r="L214" s="153"/>
    </row>
    <row r="215" spans="1:12" x14ac:dyDescent="0.25">
      <c r="A215" s="188">
        <v>999</v>
      </c>
      <c r="B215" s="161" t="s">
        <v>1073</v>
      </c>
      <c r="C215" s="161" t="s">
        <v>1174</v>
      </c>
      <c r="I215" s="153"/>
      <c r="L215" s="153"/>
    </row>
    <row r="216" spans="1:12" x14ac:dyDescent="0.25">
      <c r="A216" s="188">
        <v>999</v>
      </c>
      <c r="B216" s="161" t="s">
        <v>1080</v>
      </c>
      <c r="C216" s="161" t="s">
        <v>1174</v>
      </c>
      <c r="I216" s="153"/>
      <c r="L216" s="153"/>
    </row>
    <row r="217" spans="1:12" x14ac:dyDescent="0.25">
      <c r="A217" s="188">
        <v>999</v>
      </c>
      <c r="B217" s="161" t="s">
        <v>1075</v>
      </c>
      <c r="C217" s="161" t="s">
        <v>1174</v>
      </c>
      <c r="I217" s="153"/>
      <c r="L217" s="153"/>
    </row>
    <row r="218" spans="1:12" x14ac:dyDescent="0.25">
      <c r="A218" s="188">
        <v>999</v>
      </c>
      <c r="B218" s="161" t="s">
        <v>1134</v>
      </c>
      <c r="C218" s="161" t="s">
        <v>1174</v>
      </c>
      <c r="I218" s="153"/>
      <c r="L218" s="153"/>
    </row>
    <row r="219" spans="1:12" x14ac:dyDescent="0.25">
      <c r="A219" s="188">
        <v>999</v>
      </c>
      <c r="B219" s="161" t="s">
        <v>1082</v>
      </c>
      <c r="C219" s="161" t="s">
        <v>1174</v>
      </c>
      <c r="I219" s="153"/>
      <c r="L219" s="153"/>
    </row>
    <row r="220" spans="1:12" x14ac:dyDescent="0.25">
      <c r="A220" s="188">
        <v>999</v>
      </c>
      <c r="B220" s="161" t="s">
        <v>936</v>
      </c>
      <c r="C220" s="161" t="s">
        <v>1174</v>
      </c>
      <c r="I220" s="153"/>
      <c r="L220" s="153"/>
    </row>
    <row r="221" spans="1:12" x14ac:dyDescent="0.25">
      <c r="A221" s="188">
        <v>999</v>
      </c>
      <c r="B221" s="161" t="s">
        <v>1009</v>
      </c>
      <c r="C221" s="161" t="s">
        <v>1174</v>
      </c>
      <c r="I221" s="153"/>
      <c r="L221" s="153"/>
    </row>
    <row r="222" spans="1:12" x14ac:dyDescent="0.25">
      <c r="A222" s="188">
        <v>999</v>
      </c>
      <c r="B222" s="161" t="s">
        <v>858</v>
      </c>
      <c r="C222" s="161" t="s">
        <v>1174</v>
      </c>
      <c r="I222" s="153"/>
      <c r="L222" s="153"/>
    </row>
    <row r="223" spans="1:12" x14ac:dyDescent="0.25">
      <c r="A223" s="188">
        <v>999</v>
      </c>
      <c r="B223" s="161" t="s">
        <v>1046</v>
      </c>
      <c r="C223" s="161" t="s">
        <v>1174</v>
      </c>
      <c r="I223" s="153"/>
      <c r="L223" s="153"/>
    </row>
    <row r="224" spans="1:12" x14ac:dyDescent="0.25">
      <c r="A224" s="188">
        <v>999</v>
      </c>
      <c r="B224" s="161" t="s">
        <v>1157</v>
      </c>
      <c r="C224" s="161" t="s">
        <v>1174</v>
      </c>
      <c r="I224" s="153"/>
      <c r="L224" s="153"/>
    </row>
    <row r="225" spans="1:12" ht="30" x14ac:dyDescent="0.25">
      <c r="A225" s="188">
        <v>999</v>
      </c>
      <c r="B225" s="161" t="s">
        <v>970</v>
      </c>
      <c r="C225" s="161" t="s">
        <v>1174</v>
      </c>
      <c r="I225" s="153"/>
      <c r="L225" s="153"/>
    </row>
    <row r="226" spans="1:12" ht="30" x14ac:dyDescent="0.25">
      <c r="A226" s="188">
        <v>999</v>
      </c>
      <c r="B226" s="161" t="s">
        <v>856</v>
      </c>
      <c r="C226" s="161" t="s">
        <v>1174</v>
      </c>
      <c r="I226" s="153"/>
      <c r="L226" s="153"/>
    </row>
    <row r="227" spans="1:12" x14ac:dyDescent="0.25">
      <c r="A227" s="188">
        <v>999</v>
      </c>
      <c r="B227" s="161" t="s">
        <v>1025</v>
      </c>
      <c r="C227" s="161" t="s">
        <v>1174</v>
      </c>
      <c r="I227" s="153"/>
      <c r="L227" s="153"/>
    </row>
    <row r="228" spans="1:12" x14ac:dyDescent="0.25">
      <c r="A228" s="188">
        <v>999</v>
      </c>
      <c r="B228" s="161" t="s">
        <v>851</v>
      </c>
      <c r="C228" s="161" t="s">
        <v>1174</v>
      </c>
      <c r="I228" s="153"/>
      <c r="L228" s="153"/>
    </row>
    <row r="229" spans="1:12" ht="30" x14ac:dyDescent="0.25">
      <c r="A229" s="188">
        <v>999</v>
      </c>
      <c r="B229" s="161" t="s">
        <v>1120</v>
      </c>
      <c r="C229" s="161" t="s">
        <v>1339</v>
      </c>
      <c r="I229" s="153"/>
      <c r="L229" s="153"/>
    </row>
    <row r="230" spans="1:12" x14ac:dyDescent="0.25">
      <c r="A230" s="188">
        <v>999</v>
      </c>
      <c r="B230" s="161" t="s">
        <v>1048</v>
      </c>
      <c r="C230" s="161" t="s">
        <v>1174</v>
      </c>
      <c r="I230" s="153"/>
      <c r="L230" s="153"/>
    </row>
    <row r="231" spans="1:12" x14ac:dyDescent="0.25">
      <c r="A231" s="188">
        <v>999</v>
      </c>
      <c r="B231" s="161" t="s">
        <v>845</v>
      </c>
      <c r="C231" s="161" t="s">
        <v>1174</v>
      </c>
      <c r="I231" s="153"/>
      <c r="L231" s="153"/>
    </row>
    <row r="232" spans="1:12" x14ac:dyDescent="0.25">
      <c r="A232" s="188">
        <v>999</v>
      </c>
      <c r="B232" s="161" t="s">
        <v>403</v>
      </c>
      <c r="C232" s="161" t="s">
        <v>1174</v>
      </c>
      <c r="I232" s="153"/>
      <c r="L232" s="153"/>
    </row>
    <row r="233" spans="1:12" x14ac:dyDescent="0.25">
      <c r="A233" s="188">
        <v>999</v>
      </c>
      <c r="B233" s="161" t="s">
        <v>975</v>
      </c>
      <c r="C233" s="161" t="s">
        <v>1174</v>
      </c>
      <c r="I233" s="153"/>
      <c r="L233" s="153"/>
    </row>
    <row r="234" spans="1:12" x14ac:dyDescent="0.25">
      <c r="A234" s="188">
        <v>999</v>
      </c>
      <c r="B234" s="161" t="s">
        <v>425</v>
      </c>
      <c r="C234" s="161" t="s">
        <v>1174</v>
      </c>
      <c r="I234" s="153"/>
      <c r="L234" s="153"/>
    </row>
    <row r="235" spans="1:12" x14ac:dyDescent="0.25">
      <c r="A235" s="188">
        <v>999</v>
      </c>
      <c r="B235" s="161" t="s">
        <v>416</v>
      </c>
      <c r="C235" s="161" t="s">
        <v>1174</v>
      </c>
      <c r="I235" s="153"/>
      <c r="L235" s="153"/>
    </row>
    <row r="236" spans="1:12" x14ac:dyDescent="0.25">
      <c r="A236" s="188">
        <v>999</v>
      </c>
      <c r="B236" s="161" t="s">
        <v>979</v>
      </c>
      <c r="C236" s="161" t="s">
        <v>1174</v>
      </c>
      <c r="I236" s="153"/>
      <c r="L236" s="153"/>
    </row>
    <row r="237" spans="1:12" x14ac:dyDescent="0.25">
      <c r="A237" s="188">
        <v>999</v>
      </c>
      <c r="B237" s="161" t="s">
        <v>901</v>
      </c>
      <c r="C237" s="161" t="s">
        <v>1174</v>
      </c>
      <c r="I237" s="153"/>
      <c r="L237" s="153"/>
    </row>
    <row r="238" spans="1:12" x14ac:dyDescent="0.25">
      <c r="A238" s="188">
        <v>999</v>
      </c>
      <c r="B238" s="161" t="s">
        <v>1041</v>
      </c>
      <c r="C238" s="161" t="s">
        <v>1174</v>
      </c>
      <c r="I238" s="153"/>
      <c r="L238" s="153"/>
    </row>
    <row r="239" spans="1:12" ht="30" x14ac:dyDescent="0.25">
      <c r="A239" s="188">
        <v>999</v>
      </c>
      <c r="B239" s="161" t="s">
        <v>896</v>
      </c>
      <c r="C239" s="161" t="s">
        <v>1174</v>
      </c>
      <c r="I239" s="153"/>
      <c r="L239" s="153"/>
    </row>
    <row r="240" spans="1:12" x14ac:dyDescent="0.25">
      <c r="A240" s="188">
        <v>999</v>
      </c>
      <c r="B240" s="161" t="s">
        <v>947</v>
      </c>
      <c r="C240" s="161" t="s">
        <v>1174</v>
      </c>
      <c r="I240" s="153"/>
      <c r="L240" s="153"/>
    </row>
    <row r="241" spans="1:12" x14ac:dyDescent="0.25">
      <c r="A241" s="188">
        <v>999</v>
      </c>
      <c r="B241" s="161" t="s">
        <v>1125</v>
      </c>
      <c r="C241" s="161" t="s">
        <v>1174</v>
      </c>
      <c r="I241" s="153"/>
      <c r="L241" s="153"/>
    </row>
    <row r="242" spans="1:12" x14ac:dyDescent="0.25">
      <c r="A242" s="188">
        <v>999</v>
      </c>
      <c r="B242" s="161" t="s">
        <v>974</v>
      </c>
      <c r="C242" s="161" t="s">
        <v>1174</v>
      </c>
      <c r="I242" s="153"/>
      <c r="L242" s="153"/>
    </row>
    <row r="243" spans="1:12" x14ac:dyDescent="0.25">
      <c r="A243" s="188">
        <v>999</v>
      </c>
      <c r="B243" s="161" t="s">
        <v>1105</v>
      </c>
      <c r="C243" s="161" t="s">
        <v>1174</v>
      </c>
      <c r="I243" s="153"/>
      <c r="L243" s="153"/>
    </row>
    <row r="244" spans="1:12" x14ac:dyDescent="0.25">
      <c r="A244" s="188">
        <v>999</v>
      </c>
      <c r="B244" s="161" t="s">
        <v>876</v>
      </c>
      <c r="C244" s="161" t="s">
        <v>1174</v>
      </c>
      <c r="I244" s="153"/>
      <c r="L244" s="153"/>
    </row>
    <row r="245" spans="1:12" x14ac:dyDescent="0.25">
      <c r="A245" s="188">
        <v>999</v>
      </c>
      <c r="B245" s="161" t="s">
        <v>1161</v>
      </c>
      <c r="C245" s="161" t="s">
        <v>1174</v>
      </c>
      <c r="I245" s="153"/>
      <c r="L245" s="153"/>
    </row>
    <row r="246" spans="1:12" x14ac:dyDescent="0.25">
      <c r="A246" s="188">
        <v>999</v>
      </c>
      <c r="B246" s="161" t="s">
        <v>929</v>
      </c>
      <c r="C246" s="161" t="s">
        <v>1174</v>
      </c>
      <c r="I246" s="153"/>
      <c r="L246" s="153"/>
    </row>
    <row r="247" spans="1:12" ht="30" x14ac:dyDescent="0.25">
      <c r="A247" s="188">
        <v>999</v>
      </c>
      <c r="B247" s="161" t="s">
        <v>1047</v>
      </c>
      <c r="C247" s="161" t="s">
        <v>1174</v>
      </c>
      <c r="I247" s="153"/>
      <c r="L247" s="153"/>
    </row>
    <row r="248" spans="1:12" x14ac:dyDescent="0.25">
      <c r="A248" s="188">
        <v>999</v>
      </c>
      <c r="B248" s="161" t="s">
        <v>1029</v>
      </c>
      <c r="C248" s="161" t="s">
        <v>1174</v>
      </c>
      <c r="I248" s="153"/>
      <c r="L248" s="153"/>
    </row>
    <row r="249" spans="1:12" x14ac:dyDescent="0.25">
      <c r="A249" s="188">
        <v>999</v>
      </c>
      <c r="B249" s="161" t="s">
        <v>962</v>
      </c>
      <c r="C249" s="161" t="s">
        <v>1174</v>
      </c>
      <c r="I249" s="153"/>
      <c r="L249" s="153"/>
    </row>
    <row r="250" spans="1:12" x14ac:dyDescent="0.25">
      <c r="A250" s="188">
        <v>999</v>
      </c>
      <c r="B250" s="161" t="s">
        <v>1043</v>
      </c>
      <c r="C250" s="161" t="s">
        <v>1174</v>
      </c>
      <c r="I250" s="153"/>
      <c r="L250" s="153"/>
    </row>
    <row r="251" spans="1:12" x14ac:dyDescent="0.25">
      <c r="A251" s="188">
        <v>999</v>
      </c>
      <c r="B251" s="161" t="s">
        <v>1049</v>
      </c>
      <c r="C251" s="161" t="s">
        <v>1174</v>
      </c>
      <c r="I251" s="153"/>
      <c r="L251" s="153"/>
    </row>
    <row r="252" spans="1:12" x14ac:dyDescent="0.25">
      <c r="A252" s="188">
        <v>999</v>
      </c>
      <c r="B252" s="161" t="s">
        <v>1100</v>
      </c>
      <c r="C252" s="161" t="s">
        <v>1174</v>
      </c>
      <c r="I252" s="153"/>
      <c r="L252" s="153"/>
    </row>
    <row r="253" spans="1:12" x14ac:dyDescent="0.25">
      <c r="A253" s="188">
        <v>999</v>
      </c>
      <c r="B253" s="161" t="s">
        <v>1135</v>
      </c>
      <c r="C253" s="161" t="s">
        <v>1174</v>
      </c>
      <c r="I253" s="153"/>
      <c r="L253" s="153"/>
    </row>
    <row r="254" spans="1:12" x14ac:dyDescent="0.25">
      <c r="A254" s="188">
        <v>999</v>
      </c>
      <c r="B254" s="161" t="s">
        <v>1162</v>
      </c>
      <c r="C254" s="161" t="s">
        <v>1174</v>
      </c>
      <c r="I254" s="153"/>
      <c r="L254" s="153"/>
    </row>
    <row r="255" spans="1:12" x14ac:dyDescent="0.25">
      <c r="A255" s="188">
        <v>999</v>
      </c>
      <c r="B255" s="161" t="s">
        <v>1058</v>
      </c>
      <c r="C255" s="161" t="s">
        <v>1174</v>
      </c>
      <c r="I255" s="153"/>
      <c r="L255" s="153"/>
    </row>
    <row r="256" spans="1:12" x14ac:dyDescent="0.25">
      <c r="A256" s="188">
        <v>999</v>
      </c>
      <c r="B256" s="161" t="s">
        <v>849</v>
      </c>
      <c r="C256" s="161" t="s">
        <v>1174</v>
      </c>
      <c r="I256" s="153"/>
      <c r="L256" s="153"/>
    </row>
    <row r="257" spans="1:12" x14ac:dyDescent="0.25">
      <c r="A257" s="188">
        <v>999</v>
      </c>
      <c r="B257" s="161" t="s">
        <v>952</v>
      </c>
      <c r="C257" s="161" t="s">
        <v>1174</v>
      </c>
      <c r="I257" s="153"/>
      <c r="L257" s="153"/>
    </row>
    <row r="258" spans="1:12" ht="30" x14ac:dyDescent="0.25">
      <c r="A258" s="188">
        <v>999</v>
      </c>
      <c r="B258" s="161" t="s">
        <v>1081</v>
      </c>
      <c r="C258" s="161" t="s">
        <v>1174</v>
      </c>
      <c r="I258" s="153"/>
      <c r="L258" s="153"/>
    </row>
    <row r="259" spans="1:12" x14ac:dyDescent="0.25">
      <c r="A259" s="188">
        <v>999</v>
      </c>
      <c r="B259" s="161" t="s">
        <v>855</v>
      </c>
      <c r="C259" s="161" t="s">
        <v>1174</v>
      </c>
      <c r="I259" s="153"/>
      <c r="L259" s="153"/>
    </row>
    <row r="260" spans="1:12" x14ac:dyDescent="0.25">
      <c r="A260" s="188">
        <v>999</v>
      </c>
      <c r="B260" s="161" t="s">
        <v>870</v>
      </c>
      <c r="C260" s="161" t="s">
        <v>1174</v>
      </c>
      <c r="I260" s="153"/>
      <c r="L260" s="153"/>
    </row>
    <row r="261" spans="1:12" x14ac:dyDescent="0.25">
      <c r="A261" s="188">
        <v>999</v>
      </c>
      <c r="B261" s="161" t="s">
        <v>1068</v>
      </c>
      <c r="C261" s="161" t="s">
        <v>1174</v>
      </c>
      <c r="I261" s="153"/>
      <c r="L261" s="153"/>
    </row>
    <row r="262" spans="1:12" x14ac:dyDescent="0.25">
      <c r="A262" s="188">
        <v>999</v>
      </c>
      <c r="B262" s="161" t="s">
        <v>1034</v>
      </c>
      <c r="C262" s="161" t="s">
        <v>1174</v>
      </c>
      <c r="I262" s="153"/>
      <c r="L262" s="153"/>
    </row>
    <row r="263" spans="1:12" x14ac:dyDescent="0.25">
      <c r="A263" s="188">
        <v>999</v>
      </c>
      <c r="B263" s="161" t="s">
        <v>1133</v>
      </c>
      <c r="C263" s="161" t="s">
        <v>1174</v>
      </c>
      <c r="I263" s="153"/>
      <c r="L263" s="153"/>
    </row>
    <row r="264" spans="1:12" x14ac:dyDescent="0.25">
      <c r="A264" s="188">
        <v>999</v>
      </c>
      <c r="B264" s="161" t="s">
        <v>944</v>
      </c>
      <c r="C264" s="161" t="s">
        <v>1174</v>
      </c>
      <c r="I264" s="153"/>
      <c r="L264" s="153"/>
    </row>
    <row r="265" spans="1:12" x14ac:dyDescent="0.25">
      <c r="A265" s="188">
        <v>999</v>
      </c>
      <c r="B265" s="161" t="s">
        <v>883</v>
      </c>
      <c r="C265" s="161" t="s">
        <v>1174</v>
      </c>
      <c r="I265" s="153"/>
      <c r="L265" s="153"/>
    </row>
    <row r="266" spans="1:12" ht="30" x14ac:dyDescent="0.25">
      <c r="A266" s="188">
        <v>999</v>
      </c>
      <c r="B266" s="161" t="s">
        <v>1057</v>
      </c>
      <c r="C266" s="161" t="s">
        <v>1174</v>
      </c>
      <c r="I266" s="153"/>
      <c r="L266" s="153"/>
    </row>
    <row r="267" spans="1:12" ht="30" x14ac:dyDescent="0.25">
      <c r="A267" s="188">
        <v>999</v>
      </c>
      <c r="B267" s="161" t="s">
        <v>1160</v>
      </c>
      <c r="C267" s="161" t="s">
        <v>1174</v>
      </c>
      <c r="I267" s="153"/>
      <c r="L267" s="153"/>
    </row>
    <row r="268" spans="1:12" x14ac:dyDescent="0.25">
      <c r="A268" s="188">
        <v>999</v>
      </c>
      <c r="B268" s="161" t="s">
        <v>1159</v>
      </c>
      <c r="C268" s="161" t="s">
        <v>1174</v>
      </c>
      <c r="I268" s="153"/>
      <c r="L268" s="153"/>
    </row>
    <row r="269" spans="1:12" x14ac:dyDescent="0.25">
      <c r="A269" s="188">
        <v>999</v>
      </c>
      <c r="B269" s="161" t="s">
        <v>1165</v>
      </c>
      <c r="C269" s="161" t="s">
        <v>1174</v>
      </c>
      <c r="I269" s="153"/>
      <c r="L269" s="153"/>
    </row>
    <row r="270" spans="1:12" x14ac:dyDescent="0.25">
      <c r="A270" s="188">
        <v>999</v>
      </c>
      <c r="B270" s="161" t="s">
        <v>955</v>
      </c>
      <c r="C270" s="161" t="s">
        <v>1174</v>
      </c>
      <c r="I270" s="153"/>
      <c r="L270" s="153"/>
    </row>
    <row r="271" spans="1:12" x14ac:dyDescent="0.25">
      <c r="A271" s="188">
        <v>999</v>
      </c>
      <c r="B271" s="161" t="s">
        <v>950</v>
      </c>
      <c r="C271" s="161" t="s">
        <v>1174</v>
      </c>
      <c r="I271" s="153"/>
      <c r="L271" s="153"/>
    </row>
    <row r="272" spans="1:12" x14ac:dyDescent="0.25">
      <c r="A272" s="188">
        <v>999</v>
      </c>
      <c r="B272" s="161" t="s">
        <v>1015</v>
      </c>
      <c r="C272" s="161" t="s">
        <v>1174</v>
      </c>
      <c r="I272" s="153"/>
      <c r="L272" s="153"/>
    </row>
    <row r="273" spans="1:12" x14ac:dyDescent="0.25">
      <c r="A273" s="188">
        <v>999</v>
      </c>
      <c r="B273" s="161" t="s">
        <v>908</v>
      </c>
      <c r="C273" s="161" t="s">
        <v>1174</v>
      </c>
      <c r="I273" s="153"/>
      <c r="L273" s="153"/>
    </row>
    <row r="274" spans="1:12" x14ac:dyDescent="0.25">
      <c r="A274" s="188">
        <v>999</v>
      </c>
      <c r="B274" s="161" t="s">
        <v>1151</v>
      </c>
      <c r="C274" s="161" t="s">
        <v>1174</v>
      </c>
      <c r="I274" s="153"/>
      <c r="L274" s="153"/>
    </row>
    <row r="275" spans="1:12" ht="30" x14ac:dyDescent="0.25">
      <c r="A275" s="188">
        <v>999</v>
      </c>
      <c r="B275" s="161" t="s">
        <v>1088</v>
      </c>
      <c r="C275" s="161" t="s">
        <v>1174</v>
      </c>
      <c r="I275" s="153"/>
      <c r="L275" s="153"/>
    </row>
    <row r="276" spans="1:12" x14ac:dyDescent="0.25">
      <c r="A276" s="188">
        <v>999</v>
      </c>
      <c r="B276" s="161" t="s">
        <v>1018</v>
      </c>
      <c r="C276" s="161" t="s">
        <v>1174</v>
      </c>
      <c r="I276" s="153"/>
      <c r="L276" s="153"/>
    </row>
    <row r="277" spans="1:12" x14ac:dyDescent="0.25">
      <c r="A277" s="188">
        <v>999</v>
      </c>
      <c r="B277" s="161" t="s">
        <v>1103</v>
      </c>
      <c r="C277" s="161" t="s">
        <v>1174</v>
      </c>
      <c r="I277" s="153"/>
      <c r="L277" s="153"/>
    </row>
    <row r="278" spans="1:12" x14ac:dyDescent="0.25">
      <c r="A278" s="188">
        <v>999</v>
      </c>
      <c r="B278" s="161" t="s">
        <v>898</v>
      </c>
      <c r="C278" s="161" t="s">
        <v>1174</v>
      </c>
      <c r="I278" s="153"/>
      <c r="L278" s="153"/>
    </row>
    <row r="279" spans="1:12" x14ac:dyDescent="0.25">
      <c r="A279" s="188">
        <v>999</v>
      </c>
      <c r="B279" s="161" t="s">
        <v>894</v>
      </c>
      <c r="C279" s="161" t="s">
        <v>1174</v>
      </c>
      <c r="I279" s="153"/>
      <c r="L279" s="153"/>
    </row>
    <row r="280" spans="1:12" x14ac:dyDescent="0.25">
      <c r="A280" s="188">
        <v>999</v>
      </c>
      <c r="B280" s="161" t="s">
        <v>1055</v>
      </c>
      <c r="C280" s="161" t="s">
        <v>1174</v>
      </c>
      <c r="I280" s="153"/>
      <c r="L280" s="153"/>
    </row>
    <row r="281" spans="1:12" x14ac:dyDescent="0.25">
      <c r="A281" s="188">
        <v>999</v>
      </c>
      <c r="B281" s="161" t="s">
        <v>900</v>
      </c>
      <c r="C281" s="161" t="s">
        <v>1174</v>
      </c>
      <c r="I281" s="153"/>
      <c r="L281" s="153"/>
    </row>
    <row r="282" spans="1:12" x14ac:dyDescent="0.25">
      <c r="A282" s="188">
        <v>999</v>
      </c>
      <c r="B282" s="161" t="s">
        <v>935</v>
      </c>
      <c r="C282" s="161" t="s">
        <v>1174</v>
      </c>
      <c r="I282" s="153"/>
      <c r="L282" s="153"/>
    </row>
    <row r="283" spans="1:12" x14ac:dyDescent="0.25">
      <c r="A283" s="188">
        <v>999</v>
      </c>
      <c r="B283" s="161" t="s">
        <v>1102</v>
      </c>
      <c r="C283" s="161" t="s">
        <v>1174</v>
      </c>
      <c r="I283" s="153"/>
      <c r="L283" s="153"/>
    </row>
    <row r="284" spans="1:12" x14ac:dyDescent="0.25">
      <c r="A284" s="188">
        <v>999</v>
      </c>
      <c r="B284" s="161" t="s">
        <v>1128</v>
      </c>
      <c r="C284" s="161" t="s">
        <v>1174</v>
      </c>
      <c r="I284" s="153"/>
      <c r="L284" s="153"/>
    </row>
    <row r="285" spans="1:12" x14ac:dyDescent="0.25">
      <c r="A285" s="188">
        <v>999</v>
      </c>
      <c r="B285" s="161" t="s">
        <v>1060</v>
      </c>
      <c r="C285" s="161" t="s">
        <v>1174</v>
      </c>
      <c r="I285" s="153"/>
      <c r="L285" s="153"/>
    </row>
    <row r="286" spans="1:12" x14ac:dyDescent="0.25">
      <c r="A286" s="188">
        <v>999</v>
      </c>
      <c r="B286" s="161" t="s">
        <v>1121</v>
      </c>
      <c r="C286" s="161" t="s">
        <v>1174</v>
      </c>
      <c r="I286" s="153"/>
      <c r="L286" s="153"/>
    </row>
    <row r="287" spans="1:12" x14ac:dyDescent="0.25">
      <c r="A287" s="188">
        <v>999</v>
      </c>
      <c r="B287" s="161" t="s">
        <v>934</v>
      </c>
      <c r="C287" s="161" t="s">
        <v>1174</v>
      </c>
      <c r="I287" s="153"/>
      <c r="L287" s="153"/>
    </row>
    <row r="288" spans="1:12" x14ac:dyDescent="0.25">
      <c r="A288" s="188">
        <v>999</v>
      </c>
      <c r="B288" s="161" t="s">
        <v>982</v>
      </c>
      <c r="C288" s="161" t="s">
        <v>1174</v>
      </c>
      <c r="I288" s="153"/>
      <c r="L288" s="153"/>
    </row>
    <row r="289" spans="1:12" x14ac:dyDescent="0.25">
      <c r="A289" s="188">
        <v>999</v>
      </c>
      <c r="B289" s="161" t="s">
        <v>963</v>
      </c>
      <c r="C289" s="161" t="s">
        <v>1174</v>
      </c>
      <c r="I289" s="153"/>
      <c r="L289" s="153"/>
    </row>
    <row r="290" spans="1:12" x14ac:dyDescent="0.25">
      <c r="A290" s="188">
        <v>999</v>
      </c>
      <c r="B290" s="161" t="s">
        <v>928</v>
      </c>
      <c r="C290" s="161" t="s">
        <v>1174</v>
      </c>
      <c r="I290" s="153"/>
      <c r="L290" s="153"/>
    </row>
    <row r="291" spans="1:12" x14ac:dyDescent="0.25">
      <c r="A291" s="188">
        <v>999</v>
      </c>
      <c r="B291" s="161" t="s">
        <v>992</v>
      </c>
      <c r="C291" s="161" t="s">
        <v>1174</v>
      </c>
      <c r="I291" s="153"/>
      <c r="L291" s="153"/>
    </row>
    <row r="292" spans="1:12" x14ac:dyDescent="0.25">
      <c r="A292" s="188">
        <v>999</v>
      </c>
      <c r="B292" s="161" t="s">
        <v>985</v>
      </c>
      <c r="C292" s="161" t="s">
        <v>1174</v>
      </c>
      <c r="I292" s="153"/>
      <c r="L292" s="153"/>
    </row>
    <row r="293" spans="1:12" x14ac:dyDescent="0.25">
      <c r="A293" s="188">
        <v>999</v>
      </c>
      <c r="B293" s="161" t="s">
        <v>1144</v>
      </c>
      <c r="C293" s="161" t="s">
        <v>1174</v>
      </c>
      <c r="I293" s="153"/>
      <c r="L293" s="153"/>
    </row>
    <row r="294" spans="1:12" x14ac:dyDescent="0.25">
      <c r="A294" s="188">
        <v>999</v>
      </c>
      <c r="B294" s="161" t="s">
        <v>971</v>
      </c>
      <c r="C294" s="161" t="s">
        <v>1174</v>
      </c>
      <c r="I294" s="153"/>
      <c r="L294" s="153"/>
    </row>
    <row r="295" spans="1:12" x14ac:dyDescent="0.25">
      <c r="A295" s="188">
        <v>999</v>
      </c>
      <c r="B295" s="161" t="s">
        <v>1008</v>
      </c>
      <c r="C295" s="161" t="s">
        <v>1174</v>
      </c>
      <c r="I295" s="153"/>
      <c r="L295" s="153"/>
    </row>
    <row r="296" spans="1:12" x14ac:dyDescent="0.25">
      <c r="A296" s="188">
        <v>999</v>
      </c>
      <c r="B296" s="161" t="s">
        <v>1077</v>
      </c>
      <c r="C296" s="161" t="s">
        <v>1174</v>
      </c>
      <c r="I296" s="153"/>
      <c r="L296" s="153"/>
    </row>
    <row r="297" spans="1:12" x14ac:dyDescent="0.25">
      <c r="A297" s="188">
        <v>999</v>
      </c>
      <c r="B297" s="161" t="s">
        <v>1127</v>
      </c>
      <c r="C297" s="161" t="s">
        <v>1174</v>
      </c>
      <c r="I297" s="153"/>
      <c r="L297" s="153"/>
    </row>
    <row r="298" spans="1:12" x14ac:dyDescent="0.25">
      <c r="A298" s="188">
        <v>999</v>
      </c>
      <c r="B298" s="161" t="s">
        <v>912</v>
      </c>
      <c r="C298" s="161" t="s">
        <v>1174</v>
      </c>
      <c r="I298" s="153"/>
      <c r="L298" s="153"/>
    </row>
    <row r="299" spans="1:12" x14ac:dyDescent="0.25">
      <c r="A299" s="188">
        <v>999</v>
      </c>
      <c r="B299" s="161" t="s">
        <v>999</v>
      </c>
      <c r="C299" s="161" t="s">
        <v>1174</v>
      </c>
      <c r="I299" s="153"/>
      <c r="L299" s="153"/>
    </row>
    <row r="300" spans="1:12" x14ac:dyDescent="0.25">
      <c r="A300" s="188">
        <v>999</v>
      </c>
      <c r="B300" s="161" t="s">
        <v>1007</v>
      </c>
      <c r="C300" s="161" t="s">
        <v>1174</v>
      </c>
      <c r="I300" s="153"/>
      <c r="L300" s="153"/>
    </row>
    <row r="301" spans="1:12" x14ac:dyDescent="0.25">
      <c r="A301" s="188">
        <v>999</v>
      </c>
      <c r="B301" s="161" t="s">
        <v>1021</v>
      </c>
      <c r="C301" s="161" t="s">
        <v>1174</v>
      </c>
      <c r="I301" s="153"/>
      <c r="L301" s="153"/>
    </row>
    <row r="302" spans="1:12" x14ac:dyDescent="0.25">
      <c r="A302" s="188">
        <v>999</v>
      </c>
      <c r="B302" s="161" t="s">
        <v>1093</v>
      </c>
      <c r="C302" s="161" t="s">
        <v>1174</v>
      </c>
      <c r="I302" s="153"/>
      <c r="L302" s="153"/>
    </row>
    <row r="303" spans="1:12" x14ac:dyDescent="0.25">
      <c r="A303" s="188">
        <v>999</v>
      </c>
      <c r="B303" s="161" t="s">
        <v>961</v>
      </c>
      <c r="C303" s="161" t="s">
        <v>1174</v>
      </c>
      <c r="I303" s="153"/>
      <c r="L303" s="153"/>
    </row>
    <row r="304" spans="1:12" x14ac:dyDescent="0.25">
      <c r="A304" s="188">
        <v>999</v>
      </c>
      <c r="B304" s="161" t="s">
        <v>847</v>
      </c>
      <c r="C304" s="161" t="s">
        <v>1174</v>
      </c>
      <c r="I304" s="153"/>
      <c r="L304" s="153"/>
    </row>
    <row r="305" spans="1:12" x14ac:dyDescent="0.25">
      <c r="A305" s="188">
        <v>999</v>
      </c>
      <c r="B305" s="161" t="s">
        <v>861</v>
      </c>
      <c r="C305" s="161" t="s">
        <v>1174</v>
      </c>
      <c r="I305" s="153"/>
      <c r="L305" s="153"/>
    </row>
    <row r="306" spans="1:12" x14ac:dyDescent="0.25">
      <c r="A306" s="188">
        <v>999</v>
      </c>
      <c r="B306" s="161" t="s">
        <v>911</v>
      </c>
      <c r="C306" s="161" t="s">
        <v>1174</v>
      </c>
      <c r="I306" s="153"/>
      <c r="L306" s="153"/>
    </row>
    <row r="307" spans="1:12" x14ac:dyDescent="0.25">
      <c r="A307" s="188">
        <v>999</v>
      </c>
      <c r="B307" s="161" t="s">
        <v>932</v>
      </c>
      <c r="C307" s="161" t="s">
        <v>1174</v>
      </c>
      <c r="I307" s="153"/>
      <c r="L307" s="153"/>
    </row>
    <row r="308" spans="1:12" x14ac:dyDescent="0.25">
      <c r="A308" s="188">
        <v>999</v>
      </c>
      <c r="B308" s="161" t="s">
        <v>1099</v>
      </c>
      <c r="C308" s="161" t="s">
        <v>1174</v>
      </c>
      <c r="I308" s="153"/>
      <c r="L308" s="153"/>
    </row>
    <row r="309" spans="1:12" x14ac:dyDescent="0.25">
      <c r="A309" s="188">
        <v>999</v>
      </c>
      <c r="B309" s="161" t="s">
        <v>411</v>
      </c>
      <c r="C309" s="161" t="s">
        <v>1174</v>
      </c>
      <c r="I309" s="153"/>
      <c r="L309" s="153"/>
    </row>
    <row r="310" spans="1:12" x14ac:dyDescent="0.25">
      <c r="A310" s="188">
        <v>999</v>
      </c>
      <c r="B310" s="161" t="s">
        <v>1027</v>
      </c>
      <c r="C310" s="161" t="s">
        <v>1174</v>
      </c>
      <c r="I310" s="153"/>
      <c r="L310" s="153"/>
    </row>
    <row r="311" spans="1:12" x14ac:dyDescent="0.25">
      <c r="A311" s="188">
        <v>999</v>
      </c>
      <c r="B311" s="161" t="s">
        <v>978</v>
      </c>
      <c r="C311" s="161" t="s">
        <v>1174</v>
      </c>
      <c r="I311" s="153"/>
      <c r="L311" s="153"/>
    </row>
    <row r="312" spans="1:12" x14ac:dyDescent="0.25">
      <c r="A312" s="188">
        <v>999</v>
      </c>
      <c r="B312" s="161" t="s">
        <v>1085</v>
      </c>
      <c r="C312" s="161" t="s">
        <v>1174</v>
      </c>
      <c r="I312" s="153"/>
      <c r="L312" s="153"/>
    </row>
    <row r="313" spans="1:12" x14ac:dyDescent="0.25">
      <c r="A313" s="188">
        <v>999</v>
      </c>
      <c r="B313" s="161" t="s">
        <v>980</v>
      </c>
      <c r="C313" s="161" t="s">
        <v>1174</v>
      </c>
      <c r="I313" s="153"/>
      <c r="L313" s="153"/>
    </row>
    <row r="314" spans="1:12" x14ac:dyDescent="0.25">
      <c r="A314" s="188">
        <v>999</v>
      </c>
      <c r="B314" s="161" t="s">
        <v>1001</v>
      </c>
      <c r="C314" s="161" t="s">
        <v>1174</v>
      </c>
      <c r="I314" s="153"/>
      <c r="L314" s="153"/>
    </row>
    <row r="315" spans="1:12" x14ac:dyDescent="0.25">
      <c r="A315" s="188">
        <v>999</v>
      </c>
      <c r="B315" s="161" t="s">
        <v>872</v>
      </c>
      <c r="C315" s="161" t="s">
        <v>1174</v>
      </c>
      <c r="I315" s="153"/>
      <c r="L315" s="153"/>
    </row>
    <row r="316" spans="1:12" x14ac:dyDescent="0.25">
      <c r="A316" s="188">
        <v>999</v>
      </c>
      <c r="B316" s="161" t="s">
        <v>865</v>
      </c>
      <c r="C316" s="161" t="s">
        <v>1174</v>
      </c>
      <c r="I316" s="153"/>
      <c r="L316" s="153"/>
    </row>
    <row r="317" spans="1:12" x14ac:dyDescent="0.25">
      <c r="A317" s="188">
        <v>999</v>
      </c>
      <c r="B317" s="161" t="s">
        <v>1089</v>
      </c>
      <c r="C317" s="161" t="s">
        <v>1174</v>
      </c>
      <c r="I317" s="153"/>
      <c r="L317" s="153"/>
    </row>
    <row r="318" spans="1:12" x14ac:dyDescent="0.25">
      <c r="A318" s="188">
        <v>999</v>
      </c>
      <c r="B318" s="161" t="s">
        <v>427</v>
      </c>
      <c r="C318" s="161" t="s">
        <v>1174</v>
      </c>
      <c r="I318" s="153"/>
      <c r="L318" s="153"/>
    </row>
    <row r="319" spans="1:12" x14ac:dyDescent="0.25">
      <c r="A319" s="188">
        <v>999</v>
      </c>
      <c r="B319" s="161" t="s">
        <v>925</v>
      </c>
      <c r="C319" s="161" t="s">
        <v>1174</v>
      </c>
      <c r="I319" s="153"/>
      <c r="L319" s="153"/>
    </row>
    <row r="320" spans="1:12" x14ac:dyDescent="0.25">
      <c r="A320" s="188">
        <v>999</v>
      </c>
      <c r="B320" s="161" t="s">
        <v>1076</v>
      </c>
      <c r="C320" s="161" t="s">
        <v>1174</v>
      </c>
      <c r="I320" s="153"/>
      <c r="L320" s="153"/>
    </row>
    <row r="321" spans="1:12" x14ac:dyDescent="0.25">
      <c r="A321" s="188">
        <v>999</v>
      </c>
      <c r="B321" s="161" t="s">
        <v>1138</v>
      </c>
      <c r="C321" s="161" t="s">
        <v>1174</v>
      </c>
      <c r="I321" s="153"/>
      <c r="L321" s="153"/>
    </row>
    <row r="322" spans="1:12" x14ac:dyDescent="0.25">
      <c r="A322" s="188">
        <v>999</v>
      </c>
      <c r="B322" s="161" t="s">
        <v>1054</v>
      </c>
      <c r="C322" s="161" t="s">
        <v>1174</v>
      </c>
      <c r="I322" s="153"/>
      <c r="L322" s="153"/>
    </row>
    <row r="323" spans="1:12" x14ac:dyDescent="0.25">
      <c r="A323" s="188">
        <v>999</v>
      </c>
      <c r="B323" s="161" t="s">
        <v>997</v>
      </c>
      <c r="C323" s="161" t="s">
        <v>1174</v>
      </c>
      <c r="I323" s="153"/>
      <c r="L323" s="153"/>
    </row>
    <row r="324" spans="1:12" x14ac:dyDescent="0.25">
      <c r="A324" s="188">
        <v>999</v>
      </c>
      <c r="B324" s="161" t="s">
        <v>1118</v>
      </c>
      <c r="C324" s="161" t="s">
        <v>1174</v>
      </c>
      <c r="I324" s="153"/>
      <c r="L324" s="153"/>
    </row>
    <row r="325" spans="1:12" x14ac:dyDescent="0.25">
      <c r="A325" s="188">
        <v>999</v>
      </c>
      <c r="B325" s="161" t="s">
        <v>927</v>
      </c>
      <c r="C325" s="161" t="s">
        <v>1174</v>
      </c>
      <c r="I325" s="153"/>
      <c r="L325" s="153"/>
    </row>
    <row r="326" spans="1:12" x14ac:dyDescent="0.25">
      <c r="A326" s="188">
        <v>999</v>
      </c>
      <c r="B326" s="161" t="s">
        <v>972</v>
      </c>
      <c r="C326" s="161" t="s">
        <v>1174</v>
      </c>
      <c r="I326" s="153"/>
      <c r="L326" s="153"/>
    </row>
    <row r="327" spans="1:12" x14ac:dyDescent="0.25">
      <c r="A327" s="188">
        <v>999</v>
      </c>
      <c r="B327" s="161" t="s">
        <v>951</v>
      </c>
      <c r="C327" s="161" t="s">
        <v>1174</v>
      </c>
      <c r="I327" s="153"/>
      <c r="L327" s="153"/>
    </row>
    <row r="328" spans="1:12" x14ac:dyDescent="0.25">
      <c r="A328" s="188">
        <v>999</v>
      </c>
      <c r="B328" s="161" t="s">
        <v>958</v>
      </c>
      <c r="C328" s="161" t="s">
        <v>1174</v>
      </c>
      <c r="I328" s="153"/>
      <c r="L328" s="153"/>
    </row>
    <row r="329" spans="1:12" x14ac:dyDescent="0.25">
      <c r="A329" s="188">
        <v>999</v>
      </c>
      <c r="B329" s="161" t="s">
        <v>1152</v>
      </c>
      <c r="C329" s="161" t="s">
        <v>1174</v>
      </c>
      <c r="I329" s="153"/>
      <c r="L329" s="153"/>
    </row>
    <row r="330" spans="1:12" ht="30" x14ac:dyDescent="0.25">
      <c r="A330" s="188">
        <v>999</v>
      </c>
      <c r="B330" s="161" t="s">
        <v>1130</v>
      </c>
      <c r="C330" s="161" t="s">
        <v>1174</v>
      </c>
      <c r="I330" s="153"/>
      <c r="L330" s="153"/>
    </row>
    <row r="331" spans="1:12" x14ac:dyDescent="0.25">
      <c r="A331" s="188">
        <v>999</v>
      </c>
      <c r="B331" s="161" t="s">
        <v>848</v>
      </c>
      <c r="C331" s="161" t="s">
        <v>1174</v>
      </c>
      <c r="I331" s="153"/>
      <c r="L331" s="153"/>
    </row>
    <row r="332" spans="1:12" ht="30" x14ac:dyDescent="0.25">
      <c r="A332" s="188">
        <v>999</v>
      </c>
      <c r="B332" s="161" t="s">
        <v>897</v>
      </c>
      <c r="C332" s="161" t="s">
        <v>1174</v>
      </c>
      <c r="I332" s="153"/>
      <c r="L332" s="153"/>
    </row>
    <row r="333" spans="1:12" ht="30" x14ac:dyDescent="0.25">
      <c r="A333" s="188">
        <v>999</v>
      </c>
      <c r="B333" s="161" t="s">
        <v>1033</v>
      </c>
      <c r="C333" s="161" t="s">
        <v>1174</v>
      </c>
      <c r="I333" s="153"/>
      <c r="L333" s="153"/>
    </row>
    <row r="334" spans="1:12" x14ac:dyDescent="0.25">
      <c r="A334" s="188">
        <v>999</v>
      </c>
      <c r="B334" s="161" t="s">
        <v>1139</v>
      </c>
      <c r="C334" s="161" t="s">
        <v>1174</v>
      </c>
      <c r="I334" s="153"/>
      <c r="L334" s="153"/>
    </row>
    <row r="335" spans="1:12" x14ac:dyDescent="0.25">
      <c r="A335" s="188">
        <v>999</v>
      </c>
      <c r="B335" s="161" t="s">
        <v>1014</v>
      </c>
      <c r="C335" s="161" t="s">
        <v>1174</v>
      </c>
      <c r="I335" s="153"/>
      <c r="L335" s="153"/>
    </row>
    <row r="336" spans="1:12" ht="30" x14ac:dyDescent="0.25">
      <c r="A336" s="188">
        <v>999</v>
      </c>
      <c r="B336" s="161" t="s">
        <v>968</v>
      </c>
      <c r="C336" s="161" t="s">
        <v>1174</v>
      </c>
      <c r="I336" s="153"/>
      <c r="L336" s="153"/>
    </row>
    <row r="337" spans="1:12" x14ac:dyDescent="0.25">
      <c r="A337" s="188">
        <v>999</v>
      </c>
      <c r="B337" s="161" t="s">
        <v>873</v>
      </c>
      <c r="C337" s="161" t="s">
        <v>1174</v>
      </c>
      <c r="I337" s="153"/>
      <c r="L337" s="153"/>
    </row>
    <row r="338" spans="1:12" x14ac:dyDescent="0.25">
      <c r="A338" s="188">
        <v>999</v>
      </c>
      <c r="B338" s="161" t="s">
        <v>1079</v>
      </c>
      <c r="C338" s="161" t="s">
        <v>1174</v>
      </c>
      <c r="I338" s="153"/>
      <c r="L338" s="153"/>
    </row>
    <row r="339" spans="1:12" x14ac:dyDescent="0.25">
      <c r="A339" s="188">
        <v>999</v>
      </c>
      <c r="B339" s="161" t="s">
        <v>1123</v>
      </c>
      <c r="C339" s="161" t="s">
        <v>1174</v>
      </c>
      <c r="I339" s="153"/>
      <c r="L339" s="153"/>
    </row>
    <row r="340" spans="1:12" x14ac:dyDescent="0.25">
      <c r="A340" s="188">
        <v>999</v>
      </c>
      <c r="B340" s="161" t="s">
        <v>987</v>
      </c>
      <c r="C340" s="161" t="s">
        <v>1174</v>
      </c>
      <c r="I340" s="153"/>
      <c r="L340" s="153"/>
    </row>
    <row r="341" spans="1:12" x14ac:dyDescent="0.25">
      <c r="A341" s="188">
        <v>999</v>
      </c>
      <c r="B341" s="161" t="s">
        <v>1017</v>
      </c>
      <c r="C341" s="161" t="s">
        <v>1174</v>
      </c>
      <c r="I341" s="153"/>
      <c r="L341" s="153"/>
    </row>
    <row r="342" spans="1:12" x14ac:dyDescent="0.25">
      <c r="A342" s="188">
        <v>999</v>
      </c>
      <c r="B342" s="161" t="s">
        <v>1031</v>
      </c>
      <c r="C342" s="161" t="s">
        <v>1174</v>
      </c>
      <c r="I342" s="153"/>
      <c r="L342" s="153"/>
    </row>
    <row r="343" spans="1:12" ht="30" x14ac:dyDescent="0.25">
      <c r="A343" s="188">
        <v>999</v>
      </c>
      <c r="B343" s="161" t="s">
        <v>1019</v>
      </c>
      <c r="C343" s="161" t="s">
        <v>1174</v>
      </c>
      <c r="I343" s="153"/>
      <c r="L343" s="153"/>
    </row>
    <row r="344" spans="1:12" x14ac:dyDescent="0.25">
      <c r="A344" s="188">
        <v>999</v>
      </c>
      <c r="B344" s="161" t="s">
        <v>1071</v>
      </c>
      <c r="C344" s="161" t="s">
        <v>1174</v>
      </c>
      <c r="I344" s="153"/>
      <c r="L344" s="153"/>
    </row>
    <row r="345" spans="1:12" x14ac:dyDescent="0.25">
      <c r="A345" s="188">
        <v>999</v>
      </c>
      <c r="B345" s="161" t="s">
        <v>857</v>
      </c>
      <c r="C345" s="161" t="s">
        <v>1174</v>
      </c>
      <c r="I345" s="153"/>
      <c r="L345" s="153"/>
    </row>
    <row r="346" spans="1:12" x14ac:dyDescent="0.25">
      <c r="A346" s="188">
        <v>999</v>
      </c>
      <c r="B346" s="161" t="s">
        <v>1145</v>
      </c>
      <c r="C346" s="161" t="s">
        <v>1174</v>
      </c>
      <c r="I346" s="153"/>
      <c r="L346" s="153"/>
    </row>
    <row r="347" spans="1:12" x14ac:dyDescent="0.25">
      <c r="A347" s="188">
        <v>999</v>
      </c>
      <c r="B347" s="161" t="s">
        <v>937</v>
      </c>
      <c r="C347" s="161" t="s">
        <v>1174</v>
      </c>
      <c r="I347" s="153"/>
      <c r="L347" s="153"/>
    </row>
    <row r="348" spans="1:12" x14ac:dyDescent="0.25">
      <c r="A348" s="188">
        <v>999</v>
      </c>
      <c r="B348" s="161" t="s">
        <v>973</v>
      </c>
      <c r="C348" s="161" t="s">
        <v>1174</v>
      </c>
      <c r="I348" s="153"/>
      <c r="L348" s="153"/>
    </row>
    <row r="349" spans="1:12" ht="30" x14ac:dyDescent="0.25">
      <c r="A349" s="188">
        <v>999</v>
      </c>
      <c r="B349" s="161" t="s">
        <v>1094</v>
      </c>
      <c r="C349" s="161" t="s">
        <v>1174</v>
      </c>
      <c r="I349" s="153"/>
      <c r="L349" s="153"/>
    </row>
    <row r="350" spans="1:12" x14ac:dyDescent="0.25">
      <c r="A350" s="188">
        <v>999</v>
      </c>
      <c r="B350" s="161" t="s">
        <v>1171</v>
      </c>
      <c r="C350" s="161" t="s">
        <v>1174</v>
      </c>
      <c r="I350" s="153"/>
      <c r="L350" s="153"/>
    </row>
    <row r="351" spans="1:12" x14ac:dyDescent="0.25">
      <c r="A351" s="188">
        <v>999</v>
      </c>
      <c r="B351" s="161" t="s">
        <v>1022</v>
      </c>
      <c r="C351" s="161" t="s">
        <v>1174</v>
      </c>
      <c r="I351" s="153"/>
      <c r="L351" s="153"/>
    </row>
    <row r="352" spans="1:12" x14ac:dyDescent="0.25">
      <c r="A352" s="188">
        <v>999</v>
      </c>
      <c r="B352" s="161" t="s">
        <v>945</v>
      </c>
      <c r="C352" s="161" t="s">
        <v>1174</v>
      </c>
      <c r="I352" s="153"/>
      <c r="L352" s="153"/>
    </row>
    <row r="353" spans="1:12" x14ac:dyDescent="0.25">
      <c r="A353" s="188">
        <v>999</v>
      </c>
      <c r="B353" s="161" t="s">
        <v>996</v>
      </c>
      <c r="C353" s="161" t="s">
        <v>1174</v>
      </c>
      <c r="I353" s="153"/>
      <c r="L353" s="153"/>
    </row>
    <row r="354" spans="1:12" x14ac:dyDescent="0.25">
      <c r="A354" s="188">
        <v>999</v>
      </c>
      <c r="B354" s="161" t="s">
        <v>69</v>
      </c>
      <c r="C354" s="161" t="s">
        <v>1174</v>
      </c>
      <c r="I354" s="153"/>
      <c r="L354" s="153"/>
    </row>
    <row r="355" spans="1:12" x14ac:dyDescent="0.25">
      <c r="A355" s="188">
        <v>999</v>
      </c>
      <c r="B355" s="161" t="s">
        <v>1086</v>
      </c>
      <c r="C355" s="161" t="s">
        <v>1174</v>
      </c>
      <c r="I355" s="153"/>
      <c r="L355" s="153"/>
    </row>
    <row r="356" spans="1:12" x14ac:dyDescent="0.25">
      <c r="A356" s="188">
        <v>999</v>
      </c>
      <c r="B356" s="161" t="s">
        <v>1173</v>
      </c>
      <c r="C356" s="161" t="s">
        <v>1174</v>
      </c>
      <c r="I356" s="153"/>
      <c r="L356" s="153"/>
    </row>
    <row r="357" spans="1:12" x14ac:dyDescent="0.25">
      <c r="A357" s="188">
        <v>999</v>
      </c>
      <c r="B357" s="161" t="s">
        <v>1095</v>
      </c>
      <c r="C357" s="161" t="s">
        <v>1174</v>
      </c>
      <c r="I357" s="153"/>
      <c r="L357" s="153"/>
    </row>
    <row r="358" spans="1:12" x14ac:dyDescent="0.25">
      <c r="A358" s="188">
        <v>999</v>
      </c>
      <c r="B358" s="161" t="s">
        <v>993</v>
      </c>
      <c r="C358" s="161" t="s">
        <v>1174</v>
      </c>
      <c r="I358" s="153"/>
      <c r="L358" s="153"/>
    </row>
    <row r="359" spans="1:12" x14ac:dyDescent="0.25">
      <c r="A359" s="188">
        <v>999</v>
      </c>
      <c r="B359" s="161" t="s">
        <v>965</v>
      </c>
      <c r="C359" s="161" t="s">
        <v>1174</v>
      </c>
      <c r="I359" s="153"/>
      <c r="L359" s="153"/>
    </row>
    <row r="360" spans="1:12" x14ac:dyDescent="0.25">
      <c r="A360" s="188">
        <v>999</v>
      </c>
      <c r="B360" s="161" t="s">
        <v>909</v>
      </c>
      <c r="C360" s="161" t="s">
        <v>1174</v>
      </c>
      <c r="I360" s="153"/>
      <c r="L360" s="153"/>
    </row>
    <row r="361" spans="1:12" x14ac:dyDescent="0.25">
      <c r="A361" s="188">
        <v>999</v>
      </c>
      <c r="B361" s="161" t="s">
        <v>902</v>
      </c>
      <c r="C361" s="161" t="s">
        <v>1174</v>
      </c>
      <c r="I361" s="153"/>
      <c r="L361" s="153"/>
    </row>
    <row r="362" spans="1:12" x14ac:dyDescent="0.25">
      <c r="A362" s="188">
        <v>999</v>
      </c>
      <c r="B362" s="161" t="s">
        <v>846</v>
      </c>
      <c r="C362" s="161" t="s">
        <v>1174</v>
      </c>
      <c r="I362" s="153"/>
      <c r="L362" s="153"/>
    </row>
    <row r="363" spans="1:12" x14ac:dyDescent="0.25">
      <c r="A363" s="188">
        <v>999</v>
      </c>
      <c r="B363" s="161" t="s">
        <v>1056</v>
      </c>
      <c r="C363" s="161" t="s">
        <v>1174</v>
      </c>
      <c r="I363" s="153"/>
      <c r="L363" s="153"/>
    </row>
    <row r="364" spans="1:12" x14ac:dyDescent="0.25">
      <c r="A364" s="188">
        <v>999</v>
      </c>
      <c r="B364" s="161" t="s">
        <v>1155</v>
      </c>
      <c r="C364" s="161" t="s">
        <v>1174</v>
      </c>
      <c r="I364" s="153"/>
      <c r="L364" s="153"/>
    </row>
    <row r="365" spans="1:12" x14ac:dyDescent="0.25">
      <c r="A365" s="188">
        <v>999</v>
      </c>
      <c r="B365" s="161" t="s">
        <v>1148</v>
      </c>
      <c r="C365" s="161" t="s">
        <v>1174</v>
      </c>
      <c r="I365" s="153"/>
      <c r="L365" s="153"/>
    </row>
    <row r="366" spans="1:12" x14ac:dyDescent="0.25">
      <c r="A366" s="188">
        <v>999</v>
      </c>
      <c r="B366" s="161" t="s">
        <v>957</v>
      </c>
      <c r="C366" s="161" t="s">
        <v>1174</v>
      </c>
      <c r="I366" s="153"/>
      <c r="L366" s="153"/>
    </row>
    <row r="367" spans="1:12" x14ac:dyDescent="0.25">
      <c r="A367" s="188">
        <v>999</v>
      </c>
      <c r="B367" s="161" t="s">
        <v>1168</v>
      </c>
      <c r="C367" s="161" t="s">
        <v>1174</v>
      </c>
      <c r="I367" s="153"/>
      <c r="L367" s="153"/>
    </row>
    <row r="368" spans="1:12" x14ac:dyDescent="0.25">
      <c r="A368" s="188">
        <v>999</v>
      </c>
      <c r="B368" s="161" t="s">
        <v>899</v>
      </c>
      <c r="C368" s="161" t="s">
        <v>1174</v>
      </c>
      <c r="I368" s="153"/>
      <c r="L368" s="153"/>
    </row>
    <row r="369" spans="1:12" x14ac:dyDescent="0.25">
      <c r="A369" s="188">
        <v>999</v>
      </c>
      <c r="B369" s="161" t="s">
        <v>938</v>
      </c>
      <c r="C369" s="161" t="s">
        <v>1174</v>
      </c>
      <c r="I369" s="153"/>
      <c r="L369" s="153"/>
    </row>
    <row r="370" spans="1:12" x14ac:dyDescent="0.25">
      <c r="A370" s="188">
        <v>999</v>
      </c>
      <c r="B370" s="161" t="s">
        <v>1097</v>
      </c>
      <c r="C370" s="161" t="s">
        <v>1174</v>
      </c>
      <c r="I370" s="153"/>
      <c r="L370" s="153"/>
    </row>
    <row r="371" spans="1:12" x14ac:dyDescent="0.25">
      <c r="A371" s="188">
        <v>999</v>
      </c>
      <c r="B371" s="161" t="s">
        <v>1044</v>
      </c>
      <c r="C371" s="161" t="s">
        <v>1174</v>
      </c>
      <c r="I371" s="153"/>
      <c r="L371" s="153"/>
    </row>
    <row r="372" spans="1:12" x14ac:dyDescent="0.25">
      <c r="A372" s="188">
        <v>999</v>
      </c>
      <c r="B372" s="161" t="s">
        <v>1036</v>
      </c>
      <c r="C372" s="161" t="s">
        <v>1174</v>
      </c>
      <c r="I372" s="153"/>
      <c r="L372" s="153"/>
    </row>
    <row r="373" spans="1:12" x14ac:dyDescent="0.25">
      <c r="A373" s="188">
        <v>999</v>
      </c>
      <c r="B373" s="161" t="s">
        <v>1074</v>
      </c>
      <c r="C373" s="161" t="s">
        <v>1174</v>
      </c>
      <c r="I373" s="153"/>
      <c r="L373" s="153"/>
    </row>
    <row r="374" spans="1:12" x14ac:dyDescent="0.25">
      <c r="A374" s="188">
        <v>999</v>
      </c>
      <c r="B374" s="161" t="s">
        <v>1091</v>
      </c>
      <c r="C374" s="161" t="s">
        <v>1174</v>
      </c>
      <c r="I374" s="153"/>
      <c r="L374" s="153"/>
    </row>
    <row r="375" spans="1:12" x14ac:dyDescent="0.25">
      <c r="A375" s="188">
        <v>999</v>
      </c>
      <c r="B375" s="161" t="s">
        <v>1158</v>
      </c>
      <c r="C375" s="161" t="s">
        <v>1174</v>
      </c>
      <c r="I375" s="153"/>
      <c r="L375" s="153"/>
    </row>
    <row r="376" spans="1:12" x14ac:dyDescent="0.25">
      <c r="A376" s="188">
        <v>999</v>
      </c>
      <c r="B376" s="161" t="s">
        <v>1132</v>
      </c>
      <c r="C376" s="161" t="s">
        <v>1174</v>
      </c>
      <c r="I376" s="153"/>
      <c r="L376" s="153"/>
    </row>
    <row r="377" spans="1:12" ht="30" x14ac:dyDescent="0.25">
      <c r="A377" s="188">
        <v>999</v>
      </c>
      <c r="B377" s="161" t="s">
        <v>1084</v>
      </c>
      <c r="C377" s="161" t="s">
        <v>1174</v>
      </c>
      <c r="I377" s="153"/>
      <c r="L377" s="153"/>
    </row>
    <row r="378" spans="1:12" x14ac:dyDescent="0.25">
      <c r="A378" s="188">
        <v>999</v>
      </c>
      <c r="B378" s="161" t="s">
        <v>1042</v>
      </c>
      <c r="C378" s="161" t="s">
        <v>1174</v>
      </c>
      <c r="I378" s="153"/>
      <c r="L378" s="153"/>
    </row>
    <row r="379" spans="1:12" x14ac:dyDescent="0.25">
      <c r="A379" s="188">
        <v>999</v>
      </c>
      <c r="B379" s="161" t="s">
        <v>918</v>
      </c>
      <c r="C379" s="161" t="s">
        <v>1174</v>
      </c>
      <c r="I379" s="153"/>
      <c r="L379" s="153"/>
    </row>
    <row r="380" spans="1:12" x14ac:dyDescent="0.25">
      <c r="A380" s="188">
        <v>999</v>
      </c>
      <c r="B380" s="161" t="s">
        <v>923</v>
      </c>
      <c r="C380" s="161" t="s">
        <v>1174</v>
      </c>
      <c r="I380" s="153"/>
      <c r="L380" s="153"/>
    </row>
    <row r="381" spans="1:12" x14ac:dyDescent="0.25">
      <c r="A381" s="188">
        <v>999</v>
      </c>
      <c r="B381" s="161" t="s">
        <v>907</v>
      </c>
      <c r="C381" s="161" t="s">
        <v>1174</v>
      </c>
      <c r="I381" s="153"/>
      <c r="L381" s="153"/>
    </row>
    <row r="382" spans="1:12" x14ac:dyDescent="0.25">
      <c r="A382" s="188">
        <v>999</v>
      </c>
      <c r="B382" s="161" t="s">
        <v>1010</v>
      </c>
      <c r="C382" s="161" t="s">
        <v>1174</v>
      </c>
      <c r="I382" s="153"/>
      <c r="L382" s="153"/>
    </row>
    <row r="383" spans="1:12" x14ac:dyDescent="0.25">
      <c r="A383" s="188">
        <v>999</v>
      </c>
      <c r="B383" s="161" t="s">
        <v>1069</v>
      </c>
      <c r="C383" s="161" t="s">
        <v>1174</v>
      </c>
      <c r="I383" s="153"/>
      <c r="L383" s="153"/>
    </row>
    <row r="384" spans="1:12" x14ac:dyDescent="0.25">
      <c r="A384" s="188">
        <v>999</v>
      </c>
      <c r="B384" s="161" t="s">
        <v>1104</v>
      </c>
      <c r="C384" s="161" t="s">
        <v>1174</v>
      </c>
      <c r="I384" s="153"/>
      <c r="L384" s="153"/>
    </row>
    <row r="385" spans="1:14" x14ac:dyDescent="0.25">
      <c r="A385" s="188">
        <v>999</v>
      </c>
      <c r="B385" s="161" t="s">
        <v>1066</v>
      </c>
      <c r="C385" s="161" t="s">
        <v>1174</v>
      </c>
      <c r="I385" s="153"/>
      <c r="L385" s="153"/>
    </row>
    <row r="386" spans="1:14" x14ac:dyDescent="0.25">
      <c r="A386" s="188">
        <v>999</v>
      </c>
      <c r="B386" s="161" t="s">
        <v>1163</v>
      </c>
      <c r="C386" s="161" t="s">
        <v>1174</v>
      </c>
      <c r="I386" s="153"/>
      <c r="L386" s="153"/>
    </row>
    <row r="387" spans="1:14" x14ac:dyDescent="0.25">
      <c r="A387" s="188">
        <v>999</v>
      </c>
      <c r="B387" s="161" t="s">
        <v>939</v>
      </c>
      <c r="C387" s="161" t="s">
        <v>1174</v>
      </c>
      <c r="I387" s="153"/>
      <c r="L387" s="153"/>
    </row>
    <row r="388" spans="1:14" x14ac:dyDescent="0.25">
      <c r="A388" s="188">
        <v>999</v>
      </c>
      <c r="B388" s="161" t="s">
        <v>1000</v>
      </c>
      <c r="C388" s="161" t="s">
        <v>1174</v>
      </c>
      <c r="I388" s="153"/>
      <c r="L388" s="153"/>
    </row>
    <row r="389" spans="1:14" x14ac:dyDescent="0.25">
      <c r="A389" s="188">
        <v>999</v>
      </c>
      <c r="B389" s="161" t="s">
        <v>922</v>
      </c>
      <c r="C389" s="161" t="s">
        <v>1174</v>
      </c>
      <c r="I389" s="153"/>
      <c r="L389" s="153"/>
    </row>
    <row r="390" spans="1:14" x14ac:dyDescent="0.25">
      <c r="A390" s="188">
        <v>999</v>
      </c>
      <c r="B390" s="161" t="s">
        <v>1078</v>
      </c>
      <c r="C390" s="161" t="s">
        <v>1174</v>
      </c>
      <c r="I390" s="153"/>
      <c r="L390" s="153"/>
    </row>
    <row r="391" spans="1:14" x14ac:dyDescent="0.25">
      <c r="A391" s="188">
        <v>999</v>
      </c>
      <c r="B391" s="161" t="s">
        <v>988</v>
      </c>
      <c r="C391" s="161" t="s">
        <v>1174</v>
      </c>
      <c r="I391" s="153"/>
      <c r="L391" s="153"/>
    </row>
    <row r="392" spans="1:14" x14ac:dyDescent="0.25">
      <c r="A392" s="188">
        <v>999</v>
      </c>
      <c r="B392" s="161" t="s">
        <v>1140</v>
      </c>
      <c r="C392" s="161" t="s">
        <v>1174</v>
      </c>
      <c r="I392" s="153"/>
      <c r="L392" s="153"/>
    </row>
    <row r="393" spans="1:14" x14ac:dyDescent="0.25">
      <c r="A393" s="188">
        <v>999</v>
      </c>
      <c r="B393" s="161" t="s">
        <v>1117</v>
      </c>
      <c r="C393" s="161" t="s">
        <v>1174</v>
      </c>
      <c r="I393" s="153"/>
      <c r="L393" s="153"/>
    </row>
    <row r="394" spans="1:14" x14ac:dyDescent="0.25">
      <c r="A394" s="188">
        <v>999</v>
      </c>
      <c r="B394" s="161" t="s">
        <v>1016</v>
      </c>
      <c r="C394" s="161" t="s">
        <v>1174</v>
      </c>
      <c r="I394" s="153"/>
      <c r="L394" s="153"/>
    </row>
    <row r="395" spans="1:14" x14ac:dyDescent="0.25">
      <c r="A395" s="188">
        <v>999</v>
      </c>
      <c r="B395" s="161" t="s">
        <v>920</v>
      </c>
      <c r="C395" s="161" t="s">
        <v>1174</v>
      </c>
      <c r="I395" s="153"/>
      <c r="L395" s="153"/>
    </row>
    <row r="396" spans="1:14" x14ac:dyDescent="0.25">
      <c r="A396" s="188">
        <v>999</v>
      </c>
      <c r="B396" s="161" t="s">
        <v>875</v>
      </c>
      <c r="C396" s="161" t="s">
        <v>1174</v>
      </c>
      <c r="I396" s="153"/>
      <c r="L396" s="153"/>
      <c r="M396" s="161"/>
      <c r="N396" s="161"/>
    </row>
    <row r="397" spans="1:14" x14ac:dyDescent="0.25">
      <c r="A397" s="188">
        <v>999</v>
      </c>
      <c r="B397" s="161" t="s">
        <v>960</v>
      </c>
      <c r="C397" s="161" t="s">
        <v>1174</v>
      </c>
      <c r="I397" s="153"/>
      <c r="L397" s="153"/>
      <c r="M397" s="161"/>
      <c r="N397" s="161"/>
    </row>
    <row r="398" spans="1:14" x14ac:dyDescent="0.25">
      <c r="A398" s="188">
        <v>999</v>
      </c>
      <c r="B398" s="161" t="s">
        <v>1166</v>
      </c>
      <c r="C398" s="161" t="s">
        <v>1174</v>
      </c>
      <c r="I398" s="153"/>
      <c r="L398" s="153"/>
      <c r="M398" s="161"/>
      <c r="N398" s="161"/>
    </row>
    <row r="399" spans="1:14" x14ac:dyDescent="0.25">
      <c r="A399" s="188">
        <v>999</v>
      </c>
      <c r="B399" s="161" t="s">
        <v>880</v>
      </c>
      <c r="C399" s="161" t="s">
        <v>1174</v>
      </c>
      <c r="I399" s="153"/>
      <c r="L399" s="153"/>
      <c r="M399" s="161"/>
      <c r="N399" s="161"/>
    </row>
    <row r="400" spans="1:14" x14ac:dyDescent="0.25">
      <c r="A400" s="188">
        <v>999</v>
      </c>
      <c r="B400" s="161" t="s">
        <v>1038</v>
      </c>
      <c r="C400" s="161" t="s">
        <v>1174</v>
      </c>
      <c r="I400" s="153"/>
      <c r="L400" s="153"/>
      <c r="M400" s="161"/>
      <c r="N400" s="161"/>
    </row>
    <row r="401" spans="1:14" x14ac:dyDescent="0.25">
      <c r="A401" s="188">
        <v>999</v>
      </c>
      <c r="B401" s="161" t="s">
        <v>926</v>
      </c>
      <c r="C401" s="161" t="s">
        <v>1174</v>
      </c>
      <c r="I401" s="153"/>
      <c r="L401" s="153"/>
      <c r="M401" s="161"/>
      <c r="N401" s="161"/>
    </row>
    <row r="402" spans="1:14" x14ac:dyDescent="0.25">
      <c r="A402" s="188">
        <v>999</v>
      </c>
      <c r="B402" s="161" t="s">
        <v>1006</v>
      </c>
      <c r="C402" s="161" t="s">
        <v>1174</v>
      </c>
      <c r="I402" s="153"/>
      <c r="L402" s="153"/>
      <c r="M402" s="161"/>
      <c r="N402" s="161"/>
    </row>
    <row r="403" spans="1:14" x14ac:dyDescent="0.25">
      <c r="A403" s="188">
        <v>999</v>
      </c>
      <c r="B403" s="161" t="s">
        <v>882</v>
      </c>
      <c r="C403" s="161" t="s">
        <v>1174</v>
      </c>
      <c r="I403" s="153"/>
      <c r="L403" s="153"/>
      <c r="M403" s="161"/>
      <c r="N403" s="161"/>
    </row>
    <row r="404" spans="1:14" x14ac:dyDescent="0.25">
      <c r="A404" s="188">
        <v>999</v>
      </c>
      <c r="B404" s="161" t="s">
        <v>1032</v>
      </c>
      <c r="C404" s="161" t="s">
        <v>1174</v>
      </c>
      <c r="I404" s="153"/>
      <c r="L404" s="153"/>
      <c r="M404" s="161"/>
      <c r="N404" s="161"/>
    </row>
    <row r="405" spans="1:14" x14ac:dyDescent="0.25">
      <c r="A405" s="188">
        <v>999</v>
      </c>
      <c r="B405" s="161" t="s">
        <v>969</v>
      </c>
      <c r="C405" s="161" t="s">
        <v>1174</v>
      </c>
      <c r="I405" s="153"/>
      <c r="L405" s="153"/>
      <c r="M405" s="161"/>
      <c r="N405" s="161"/>
    </row>
    <row r="406" spans="1:14" x14ac:dyDescent="0.25">
      <c r="A406" s="188">
        <v>999</v>
      </c>
      <c r="B406" s="161" t="s">
        <v>1026</v>
      </c>
      <c r="C406" s="161" t="s">
        <v>1174</v>
      </c>
      <c r="I406" s="153"/>
      <c r="L406" s="153"/>
      <c r="M406" s="161"/>
      <c r="N406" s="161"/>
    </row>
    <row r="407" spans="1:14" x14ac:dyDescent="0.25">
      <c r="A407" s="188">
        <v>999</v>
      </c>
      <c r="B407" s="161" t="s">
        <v>948</v>
      </c>
      <c r="C407" s="161" t="s">
        <v>1174</v>
      </c>
      <c r="I407" s="153"/>
      <c r="L407" s="153"/>
      <c r="M407" s="161"/>
      <c r="N407" s="161"/>
    </row>
    <row r="408" spans="1:14" x14ac:dyDescent="0.25">
      <c r="A408" s="188">
        <v>999</v>
      </c>
      <c r="B408" s="161" t="s">
        <v>864</v>
      </c>
      <c r="C408" s="161" t="s">
        <v>1174</v>
      </c>
      <c r="I408" s="153"/>
      <c r="L408" s="153"/>
      <c r="M408" s="161"/>
      <c r="N408" s="161"/>
    </row>
    <row r="409" spans="1:14" x14ac:dyDescent="0.25">
      <c r="A409" s="188">
        <v>999</v>
      </c>
      <c r="B409" s="161" t="s">
        <v>879</v>
      </c>
      <c r="C409" s="161" t="s">
        <v>1174</v>
      </c>
      <c r="I409" s="153"/>
      <c r="L409" s="153"/>
      <c r="M409" s="161"/>
      <c r="N409" s="161"/>
    </row>
    <row r="410" spans="1:14" x14ac:dyDescent="0.25">
      <c r="A410" s="188">
        <v>999</v>
      </c>
      <c r="B410" s="161" t="s">
        <v>853</v>
      </c>
      <c r="C410" s="161" t="s">
        <v>1174</v>
      </c>
      <c r="I410" s="153"/>
      <c r="L410" s="153"/>
      <c r="M410" s="161"/>
      <c r="N410" s="161"/>
    </row>
    <row r="411" spans="1:14" x14ac:dyDescent="0.25">
      <c r="A411" s="188">
        <v>999</v>
      </c>
      <c r="B411" s="161" t="s">
        <v>1170</v>
      </c>
      <c r="C411" s="161" t="s">
        <v>1174</v>
      </c>
      <c r="I411" s="153"/>
      <c r="L411" s="153"/>
      <c r="M411" s="161"/>
      <c r="N411" s="161"/>
    </row>
    <row r="412" spans="1:14" ht="30" x14ac:dyDescent="0.25">
      <c r="A412" s="188">
        <v>999</v>
      </c>
      <c r="B412" s="161" t="s">
        <v>854</v>
      </c>
      <c r="C412" s="161" t="s">
        <v>1174</v>
      </c>
      <c r="I412" s="153"/>
      <c r="L412" s="153"/>
      <c r="M412" s="161"/>
      <c r="N412" s="161"/>
    </row>
    <row r="413" spans="1:14" ht="30" x14ac:dyDescent="0.25">
      <c r="A413" s="188">
        <v>999</v>
      </c>
      <c r="B413" s="161" t="s">
        <v>1061</v>
      </c>
      <c r="C413" s="161" t="s">
        <v>1174</v>
      </c>
      <c r="D413" s="188"/>
      <c r="E413" s="188"/>
      <c r="I413" s="153"/>
      <c r="L413" s="153"/>
      <c r="M413" s="161"/>
      <c r="N413" s="161"/>
    </row>
    <row r="414" spans="1:14" x14ac:dyDescent="0.25">
      <c r="A414" s="188">
        <v>999</v>
      </c>
      <c r="B414" s="161" t="s">
        <v>1067</v>
      </c>
      <c r="C414" s="161" t="s">
        <v>1174</v>
      </c>
      <c r="I414" s="153"/>
      <c r="L414" s="153"/>
      <c r="M414" s="161"/>
      <c r="N414" s="161"/>
    </row>
    <row r="415" spans="1:14" ht="30" x14ac:dyDescent="0.25">
      <c r="A415" s="188">
        <v>999</v>
      </c>
      <c r="B415" s="161" t="s">
        <v>930</v>
      </c>
      <c r="C415" s="161" t="s">
        <v>1174</v>
      </c>
      <c r="I415" s="153"/>
      <c r="L415" s="153"/>
      <c r="M415" s="161"/>
      <c r="N415" s="161"/>
    </row>
    <row r="416" spans="1:14" x14ac:dyDescent="0.25">
      <c r="A416" s="188">
        <v>999</v>
      </c>
      <c r="B416" s="161" t="s">
        <v>1143</v>
      </c>
      <c r="C416" s="161" t="s">
        <v>1174</v>
      </c>
      <c r="I416" s="153"/>
      <c r="L416" s="153"/>
      <c r="M416" s="161"/>
      <c r="N416" s="161"/>
    </row>
    <row r="417" spans="1:14" x14ac:dyDescent="0.25">
      <c r="A417" s="188">
        <v>999</v>
      </c>
      <c r="B417" s="161" t="s">
        <v>994</v>
      </c>
      <c r="C417" s="161" t="s">
        <v>1174</v>
      </c>
      <c r="I417" s="153"/>
      <c r="L417" s="153"/>
      <c r="M417" s="161"/>
      <c r="N417" s="161"/>
    </row>
    <row r="418" spans="1:14" x14ac:dyDescent="0.25">
      <c r="A418" s="188">
        <v>999</v>
      </c>
      <c r="B418" s="161" t="s">
        <v>954</v>
      </c>
      <c r="C418" s="161" t="s">
        <v>1174</v>
      </c>
      <c r="I418" s="153"/>
      <c r="L418" s="153"/>
      <c r="M418" s="161"/>
      <c r="N418" s="161"/>
    </row>
    <row r="419" spans="1:14" x14ac:dyDescent="0.25">
      <c r="A419" s="188">
        <v>999</v>
      </c>
      <c r="B419" s="161" t="s">
        <v>1167</v>
      </c>
      <c r="C419" s="161" t="s">
        <v>1174</v>
      </c>
      <c r="I419" s="153"/>
      <c r="L419" s="153"/>
      <c r="M419" s="161"/>
      <c r="N419" s="161"/>
    </row>
    <row r="420" spans="1:14" x14ac:dyDescent="0.25">
      <c r="A420" s="188">
        <v>999</v>
      </c>
      <c r="B420" s="161" t="s">
        <v>889</v>
      </c>
      <c r="C420" s="161" t="s">
        <v>1174</v>
      </c>
      <c r="I420" s="153"/>
      <c r="L420" s="153"/>
      <c r="M420" s="161"/>
      <c r="N420" s="161"/>
    </row>
    <row r="421" spans="1:14" x14ac:dyDescent="0.25">
      <c r="A421" s="188">
        <v>999</v>
      </c>
      <c r="B421" s="161" t="s">
        <v>1004</v>
      </c>
      <c r="C421" s="161" t="s">
        <v>1174</v>
      </c>
      <c r="I421" s="153"/>
      <c r="L421" s="153"/>
      <c r="M421" s="161"/>
      <c r="N421" s="161"/>
    </row>
    <row r="422" spans="1:14" x14ac:dyDescent="0.25">
      <c r="A422" s="188">
        <v>999</v>
      </c>
      <c r="B422" s="161" t="s">
        <v>863</v>
      </c>
      <c r="C422" s="161" t="s">
        <v>1174</v>
      </c>
      <c r="I422" s="153"/>
      <c r="L422" s="153"/>
      <c r="M422" s="161"/>
      <c r="N422" s="161"/>
    </row>
    <row r="423" spans="1:14" x14ac:dyDescent="0.25">
      <c r="A423" s="188">
        <v>999</v>
      </c>
      <c r="B423" s="161" t="s">
        <v>1131</v>
      </c>
      <c r="C423" s="161" t="s">
        <v>1174</v>
      </c>
      <c r="I423" s="153"/>
      <c r="L423" s="153"/>
      <c r="M423" s="161"/>
      <c r="N423" s="161"/>
    </row>
    <row r="424" spans="1:14" x14ac:dyDescent="0.25">
      <c r="A424" s="188">
        <v>999</v>
      </c>
      <c r="B424" s="161" t="s">
        <v>943</v>
      </c>
      <c r="C424" s="161" t="s">
        <v>1174</v>
      </c>
      <c r="I424" s="153"/>
      <c r="L424" s="153"/>
      <c r="M424" s="161"/>
      <c r="N424" s="161"/>
    </row>
    <row r="425" spans="1:14" x14ac:dyDescent="0.25">
      <c r="A425" s="188">
        <v>999</v>
      </c>
      <c r="B425" s="161" t="s">
        <v>888</v>
      </c>
      <c r="C425" s="161" t="s">
        <v>1174</v>
      </c>
      <c r="I425" s="153"/>
      <c r="L425" s="153"/>
      <c r="M425" s="161"/>
      <c r="N425" s="161"/>
    </row>
    <row r="426" spans="1:14" x14ac:dyDescent="0.25">
      <c r="A426" s="188">
        <v>999</v>
      </c>
      <c r="B426" s="161" t="s">
        <v>1072</v>
      </c>
      <c r="C426" s="161" t="s">
        <v>1174</v>
      </c>
      <c r="I426" s="153"/>
      <c r="L426" s="153"/>
      <c r="M426" s="161"/>
      <c r="N426" s="161"/>
    </row>
    <row r="427" spans="1:14" x14ac:dyDescent="0.25">
      <c r="A427" s="188">
        <v>999</v>
      </c>
      <c r="B427" s="161" t="s">
        <v>1106</v>
      </c>
      <c r="C427" s="161" t="s">
        <v>1174</v>
      </c>
      <c r="I427" s="153"/>
      <c r="L427" s="153"/>
      <c r="M427" s="161"/>
      <c r="N427" s="161"/>
    </row>
    <row r="428" spans="1:14" x14ac:dyDescent="0.25">
      <c r="A428" s="188">
        <v>999</v>
      </c>
      <c r="B428" s="161" t="s">
        <v>1011</v>
      </c>
      <c r="C428" s="161" t="s">
        <v>1174</v>
      </c>
      <c r="I428" s="153"/>
      <c r="L428" s="153"/>
      <c r="M428" s="161"/>
      <c r="N428" s="161"/>
    </row>
    <row r="429" spans="1:14" x14ac:dyDescent="0.25">
      <c r="A429" s="188">
        <v>999</v>
      </c>
      <c r="B429" s="161" t="s">
        <v>1129</v>
      </c>
      <c r="C429" s="161" t="s">
        <v>1174</v>
      </c>
      <c r="I429" s="153"/>
      <c r="L429" s="153"/>
      <c r="M429" s="161"/>
      <c r="N429" s="161"/>
    </row>
    <row r="430" spans="1:14" x14ac:dyDescent="0.25">
      <c r="A430" s="188">
        <v>999</v>
      </c>
      <c r="B430" s="161" t="s">
        <v>995</v>
      </c>
      <c r="C430" s="161" t="s">
        <v>1174</v>
      </c>
      <c r="I430" s="153"/>
      <c r="L430" s="153"/>
      <c r="M430" s="161"/>
      <c r="N430" s="161"/>
    </row>
    <row r="431" spans="1:14" x14ac:dyDescent="0.25">
      <c r="A431" s="188">
        <v>999</v>
      </c>
      <c r="B431" s="161" t="s">
        <v>986</v>
      </c>
      <c r="C431" s="161" t="s">
        <v>1174</v>
      </c>
      <c r="I431" s="153"/>
      <c r="L431" s="153"/>
      <c r="M431" s="161"/>
      <c r="N431" s="161"/>
    </row>
    <row r="432" spans="1:14" x14ac:dyDescent="0.25">
      <c r="A432" s="188">
        <v>999</v>
      </c>
      <c r="B432" s="161" t="s">
        <v>915</v>
      </c>
      <c r="C432" s="161" t="s">
        <v>1174</v>
      </c>
      <c r="I432" s="153"/>
      <c r="L432" s="153"/>
      <c r="M432" s="161"/>
      <c r="N432" s="161"/>
    </row>
    <row r="433" spans="1:14" x14ac:dyDescent="0.25">
      <c r="A433" s="188">
        <v>999</v>
      </c>
      <c r="B433" s="161" t="s">
        <v>1090</v>
      </c>
      <c r="C433" s="161" t="s">
        <v>1174</v>
      </c>
      <c r="I433" s="153"/>
      <c r="L433" s="153"/>
      <c r="M433" s="161"/>
      <c r="N433" s="161"/>
    </row>
    <row r="434" spans="1:14" x14ac:dyDescent="0.25">
      <c r="A434" s="188">
        <v>999</v>
      </c>
      <c r="B434" s="161" t="s">
        <v>1059</v>
      </c>
      <c r="C434" s="161" t="s">
        <v>1174</v>
      </c>
      <c r="I434" s="153"/>
      <c r="L434" s="153"/>
      <c r="M434" s="161"/>
      <c r="N434" s="161"/>
    </row>
    <row r="435" spans="1:14" x14ac:dyDescent="0.25">
      <c r="A435" s="188">
        <v>999</v>
      </c>
      <c r="B435" s="161" t="s">
        <v>1136</v>
      </c>
      <c r="C435" s="161" t="s">
        <v>1174</v>
      </c>
      <c r="I435" s="153"/>
      <c r="L435" s="153"/>
      <c r="M435" s="161"/>
      <c r="N435" s="161"/>
    </row>
    <row r="436" spans="1:14" x14ac:dyDescent="0.25">
      <c r="A436" s="188">
        <v>999</v>
      </c>
      <c r="B436" s="161" t="s">
        <v>1087</v>
      </c>
      <c r="C436" s="161" t="s">
        <v>1174</v>
      </c>
      <c r="I436" s="153"/>
      <c r="L436" s="153"/>
      <c r="M436" s="161"/>
      <c r="N436" s="161"/>
    </row>
    <row r="437" spans="1:14" x14ac:dyDescent="0.25">
      <c r="A437" s="188">
        <v>999</v>
      </c>
      <c r="B437" s="161" t="s">
        <v>991</v>
      </c>
      <c r="C437" s="161" t="s">
        <v>1174</v>
      </c>
      <c r="I437" s="153"/>
      <c r="L437" s="153"/>
      <c r="M437" s="161"/>
      <c r="N437" s="161"/>
    </row>
    <row r="438" spans="1:14" x14ac:dyDescent="0.25">
      <c r="A438" s="188">
        <v>999</v>
      </c>
      <c r="B438" s="161" t="s">
        <v>917</v>
      </c>
      <c r="C438" s="161" t="s">
        <v>1174</v>
      </c>
      <c r="I438" s="153"/>
      <c r="L438" s="153"/>
      <c r="M438" s="161"/>
      <c r="N438" s="161"/>
    </row>
    <row r="439" spans="1:14" x14ac:dyDescent="0.25">
      <c r="A439" s="188">
        <v>999</v>
      </c>
      <c r="B439" s="161" t="s">
        <v>1040</v>
      </c>
      <c r="C439" s="161" t="s">
        <v>1174</v>
      </c>
      <c r="I439" s="153"/>
      <c r="L439" s="153"/>
      <c r="M439" s="161"/>
      <c r="N439" s="161"/>
    </row>
    <row r="440" spans="1:14" x14ac:dyDescent="0.25">
      <c r="A440" s="188">
        <v>999</v>
      </c>
      <c r="B440" s="161" t="s">
        <v>1028</v>
      </c>
      <c r="C440" s="161" t="s">
        <v>1174</v>
      </c>
      <c r="I440" s="153"/>
      <c r="L440" s="153"/>
      <c r="M440" s="161"/>
      <c r="N440" s="161"/>
    </row>
    <row r="441" spans="1:14" x14ac:dyDescent="0.25">
      <c r="A441" s="188">
        <v>999</v>
      </c>
      <c r="B441" s="161" t="s">
        <v>1005</v>
      </c>
      <c r="C441" s="161" t="s">
        <v>1174</v>
      </c>
      <c r="I441" s="153"/>
      <c r="L441" s="153"/>
      <c r="M441" s="161"/>
      <c r="N441" s="161"/>
    </row>
    <row r="442" spans="1:14" x14ac:dyDescent="0.25">
      <c r="A442" s="188">
        <v>999</v>
      </c>
      <c r="B442" s="161" t="s">
        <v>910</v>
      </c>
      <c r="C442" s="161" t="s">
        <v>1174</v>
      </c>
      <c r="I442" s="153"/>
      <c r="L442" s="153"/>
      <c r="M442" s="161"/>
      <c r="N442" s="161"/>
    </row>
    <row r="443" spans="1:14" x14ac:dyDescent="0.25">
      <c r="A443" s="188">
        <v>999</v>
      </c>
      <c r="B443" s="161" t="s">
        <v>1122</v>
      </c>
      <c r="C443" s="161" t="s">
        <v>1174</v>
      </c>
      <c r="I443" s="153"/>
      <c r="L443" s="153"/>
      <c r="M443" s="161"/>
      <c r="N443" s="161"/>
    </row>
    <row r="444" spans="1:14" x14ac:dyDescent="0.25">
      <c r="A444" s="188">
        <v>999</v>
      </c>
      <c r="B444" s="161" t="s">
        <v>895</v>
      </c>
      <c r="C444" s="161" t="s">
        <v>1174</v>
      </c>
      <c r="I444" s="153"/>
      <c r="L444" s="153"/>
      <c r="M444" s="161"/>
      <c r="N444" s="161"/>
    </row>
    <row r="445" spans="1:14" x14ac:dyDescent="0.25">
      <c r="A445" s="188">
        <v>999</v>
      </c>
      <c r="B445" s="161" t="s">
        <v>964</v>
      </c>
      <c r="C445" s="161" t="s">
        <v>1174</v>
      </c>
      <c r="I445" s="153"/>
      <c r="L445" s="153"/>
      <c r="M445" s="161"/>
      <c r="N445" s="161"/>
    </row>
    <row r="446" spans="1:14" ht="30" x14ac:dyDescent="0.25">
      <c r="A446" s="188">
        <v>999</v>
      </c>
      <c r="B446" s="161" t="s">
        <v>1137</v>
      </c>
      <c r="C446" s="161" t="s">
        <v>1174</v>
      </c>
      <c r="I446" s="153"/>
      <c r="L446" s="153"/>
      <c r="M446" s="161"/>
      <c r="N446" s="161"/>
    </row>
    <row r="447" spans="1:14" x14ac:dyDescent="0.25">
      <c r="A447" s="188">
        <v>999</v>
      </c>
      <c r="B447" s="161" t="s">
        <v>1051</v>
      </c>
      <c r="C447" s="161" t="s">
        <v>1174</v>
      </c>
      <c r="I447" s="153"/>
      <c r="L447" s="153"/>
      <c r="M447" s="161"/>
      <c r="N447" s="161"/>
    </row>
    <row r="448" spans="1:14" x14ac:dyDescent="0.25">
      <c r="A448" s="188">
        <v>999</v>
      </c>
      <c r="B448" s="161" t="s">
        <v>1153</v>
      </c>
      <c r="C448" s="161" t="s">
        <v>1174</v>
      </c>
      <c r="I448" s="153"/>
      <c r="L448" s="153"/>
      <c r="M448" s="161"/>
      <c r="N448" s="161"/>
    </row>
    <row r="449" spans="1:14" x14ac:dyDescent="0.25">
      <c r="A449" s="188">
        <v>999</v>
      </c>
      <c r="B449" s="161" t="s">
        <v>1096</v>
      </c>
      <c r="C449" s="161" t="s">
        <v>1174</v>
      </c>
      <c r="I449" s="153"/>
      <c r="L449" s="153"/>
      <c r="M449" s="161"/>
      <c r="N449" s="161"/>
    </row>
    <row r="450" spans="1:14" x14ac:dyDescent="0.25">
      <c r="A450" s="188">
        <v>999</v>
      </c>
      <c r="B450" s="161" t="s">
        <v>1037</v>
      </c>
      <c r="C450" s="161" t="s">
        <v>1174</v>
      </c>
      <c r="I450" s="153"/>
      <c r="L450" s="153"/>
      <c r="M450" s="161"/>
      <c r="N450" s="161"/>
    </row>
    <row r="451" spans="1:14" x14ac:dyDescent="0.25">
      <c r="A451" s="188">
        <v>999</v>
      </c>
      <c r="B451" s="161" t="s">
        <v>1115</v>
      </c>
      <c r="C451" s="161" t="s">
        <v>1174</v>
      </c>
      <c r="I451" s="153"/>
      <c r="L451" s="153"/>
      <c r="M451" s="161"/>
      <c r="N451" s="161"/>
    </row>
    <row r="452" spans="1:14" x14ac:dyDescent="0.25">
      <c r="A452" s="188"/>
      <c r="B452" s="260"/>
      <c r="C452" s="254"/>
      <c r="I452" s="153"/>
      <c r="L452" s="153"/>
      <c r="M452" s="161"/>
      <c r="N452" s="161"/>
    </row>
    <row r="453" spans="1:14" x14ac:dyDescent="0.25">
      <c r="I453" s="153"/>
      <c r="L453" s="153"/>
      <c r="M453" s="161"/>
      <c r="N453" s="161"/>
    </row>
    <row r="454" spans="1:14" x14ac:dyDescent="0.25">
      <c r="I454" s="153"/>
      <c r="L454" s="153"/>
      <c r="M454" s="161"/>
      <c r="N454" s="161"/>
    </row>
    <row r="455" spans="1:14" x14ac:dyDescent="0.25">
      <c r="I455" s="153"/>
      <c r="L455" s="153"/>
      <c r="M455" s="161"/>
      <c r="N455" s="161"/>
    </row>
    <row r="456" spans="1:14" x14ac:dyDescent="0.25">
      <c r="I456" s="153"/>
      <c r="L456" s="153"/>
      <c r="M456" s="161"/>
      <c r="N456" s="161"/>
    </row>
  </sheetData>
  <sortState ref="B13:E121">
    <sortCondition ref="B13:B121"/>
  </sortState>
  <pageMargins left="0.7" right="0.7" top="0.75" bottom="0.75" header="0.3" footer="0.3"/>
  <pageSetup paperSize="9" orientation="portrait" horizontalDpi="429496729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S76"/>
  <sheetViews>
    <sheetView zoomScale="90" zoomScaleNormal="90" workbookViewId="0">
      <selection activeCell="E17" sqref="E17"/>
    </sheetView>
  </sheetViews>
  <sheetFormatPr defaultRowHeight="15" x14ac:dyDescent="0.25"/>
  <cols>
    <col min="1" max="1" width="21.5703125" customWidth="1"/>
    <col min="2" max="2" width="2.28515625" customWidth="1"/>
    <col min="3" max="3" width="22.85546875" customWidth="1"/>
    <col min="4" max="4" width="2.42578125" customWidth="1"/>
    <col min="5" max="5" width="26" customWidth="1"/>
    <col min="6" max="6" width="2.140625" customWidth="1"/>
    <col min="7" max="7" width="13.140625" customWidth="1"/>
    <col min="8" max="8" width="1.5703125" customWidth="1"/>
    <col min="9" max="9" width="14.42578125" customWidth="1"/>
    <col min="10" max="10" width="1.42578125" customWidth="1"/>
    <col min="11" max="11" width="10" customWidth="1"/>
    <col min="13" max="19" width="9.7109375" customWidth="1"/>
  </cols>
  <sheetData>
    <row r="1" spans="1:19" ht="15.75" thickBot="1" x14ac:dyDescent="0.3">
      <c r="A1" s="9" t="s">
        <v>66</v>
      </c>
      <c r="C1" s="275" t="s">
        <v>65</v>
      </c>
      <c r="E1" s="9" t="s">
        <v>48</v>
      </c>
      <c r="G1" s="9" t="s">
        <v>110</v>
      </c>
      <c r="I1" s="9" t="s">
        <v>88</v>
      </c>
      <c r="K1" s="9" t="s">
        <v>89</v>
      </c>
      <c r="M1" s="445" t="s">
        <v>385</v>
      </c>
      <c r="N1" s="446"/>
      <c r="O1" s="446"/>
      <c r="P1" s="446"/>
      <c r="Q1" s="446"/>
      <c r="R1" s="446"/>
      <c r="S1" s="447"/>
    </row>
    <row r="2" spans="1:19" ht="15.75" thickBot="1" x14ac:dyDescent="0.3">
      <c r="A2" s="8" t="s">
        <v>49</v>
      </c>
      <c r="C2" s="105" t="s">
        <v>357</v>
      </c>
      <c r="E2" s="8" t="s">
        <v>106</v>
      </c>
      <c r="G2" s="100" t="s">
        <v>111</v>
      </c>
      <c r="H2" s="220"/>
      <c r="I2" s="100" t="s">
        <v>111</v>
      </c>
      <c r="J2" s="220"/>
      <c r="K2" s="100" t="s">
        <v>111</v>
      </c>
      <c r="M2" s="233" t="s">
        <v>354</v>
      </c>
      <c r="N2" s="234" t="s">
        <v>386</v>
      </c>
      <c r="O2" s="234" t="s">
        <v>387</v>
      </c>
      <c r="P2" s="234" t="s">
        <v>388</v>
      </c>
      <c r="Q2" s="234" t="s">
        <v>389</v>
      </c>
      <c r="R2" s="234" t="s">
        <v>390</v>
      </c>
      <c r="S2" s="235" t="s">
        <v>391</v>
      </c>
    </row>
    <row r="3" spans="1:19" x14ac:dyDescent="0.25">
      <c r="A3" s="6" t="s">
        <v>50</v>
      </c>
      <c r="C3" s="98" t="s">
        <v>1226</v>
      </c>
      <c r="E3" s="52" t="s">
        <v>105</v>
      </c>
      <c r="G3" s="54" t="s">
        <v>112</v>
      </c>
      <c r="H3" s="220"/>
      <c r="I3" s="54" t="s">
        <v>115</v>
      </c>
      <c r="J3" s="220"/>
      <c r="K3" s="54">
        <v>1</v>
      </c>
      <c r="M3" s="229">
        <v>1</v>
      </c>
      <c r="N3" s="230" t="s">
        <v>392</v>
      </c>
      <c r="O3" s="231">
        <v>1</v>
      </c>
      <c r="P3" s="231">
        <v>1</v>
      </c>
      <c r="Q3" s="231">
        <v>1</v>
      </c>
      <c r="R3" s="231">
        <v>1</v>
      </c>
      <c r="S3" s="232">
        <v>1</v>
      </c>
    </row>
    <row r="4" spans="1:19" ht="15.75" thickBot="1" x14ac:dyDescent="0.3">
      <c r="A4" s="7" t="s">
        <v>51</v>
      </c>
      <c r="C4" s="52" t="s">
        <v>67</v>
      </c>
      <c r="E4" s="52" t="s">
        <v>109</v>
      </c>
      <c r="G4" s="54" t="s">
        <v>113</v>
      </c>
      <c r="H4" s="220"/>
      <c r="I4" s="54" t="s">
        <v>116</v>
      </c>
      <c r="J4" s="220"/>
      <c r="K4" s="54">
        <v>6</v>
      </c>
      <c r="M4" s="227">
        <v>11</v>
      </c>
      <c r="N4" s="226" t="s">
        <v>393</v>
      </c>
      <c r="O4" s="38">
        <v>1</v>
      </c>
      <c r="P4" s="38">
        <v>2</v>
      </c>
      <c r="Q4" s="38">
        <v>2</v>
      </c>
      <c r="R4" s="38">
        <v>2</v>
      </c>
      <c r="S4" s="39">
        <v>1</v>
      </c>
    </row>
    <row r="5" spans="1:19" x14ac:dyDescent="0.25">
      <c r="C5" s="52" t="s">
        <v>399</v>
      </c>
      <c r="E5" s="52" t="s">
        <v>108</v>
      </c>
      <c r="G5" s="54" t="s">
        <v>145</v>
      </c>
      <c r="H5" s="220"/>
      <c r="I5" s="54" t="s">
        <v>117</v>
      </c>
      <c r="J5" s="220"/>
      <c r="K5" s="54">
        <v>12</v>
      </c>
      <c r="M5" s="227">
        <v>26</v>
      </c>
      <c r="N5" s="226" t="s">
        <v>394</v>
      </c>
      <c r="O5" s="38">
        <v>1</v>
      </c>
      <c r="P5" s="38">
        <v>5</v>
      </c>
      <c r="Q5" s="38">
        <v>3</v>
      </c>
      <c r="R5" s="38">
        <v>3</v>
      </c>
      <c r="S5" s="39">
        <v>2</v>
      </c>
    </row>
    <row r="6" spans="1:19" ht="15.75" thickBot="1" x14ac:dyDescent="0.3">
      <c r="C6" s="98" t="s">
        <v>1198</v>
      </c>
      <c r="E6" s="52" t="s">
        <v>105</v>
      </c>
      <c r="G6" s="55" t="s">
        <v>114</v>
      </c>
      <c r="H6" s="220"/>
      <c r="I6" s="55" t="s">
        <v>118</v>
      </c>
      <c r="J6" s="220"/>
      <c r="K6" s="55">
        <v>24</v>
      </c>
      <c r="M6" s="227">
        <v>51</v>
      </c>
      <c r="N6" s="226" t="s">
        <v>395</v>
      </c>
      <c r="O6" s="38">
        <v>2</v>
      </c>
      <c r="P6" s="38">
        <v>10</v>
      </c>
      <c r="Q6" s="38">
        <v>4</v>
      </c>
      <c r="R6" s="38">
        <v>4</v>
      </c>
      <c r="S6" s="39">
        <v>2</v>
      </c>
    </row>
    <row r="7" spans="1:19" ht="15.75" thickBot="1" x14ac:dyDescent="0.3">
      <c r="C7" s="98" t="s">
        <v>1285</v>
      </c>
      <c r="E7" s="53" t="s">
        <v>107</v>
      </c>
      <c r="M7" s="227">
        <v>101</v>
      </c>
      <c r="N7" s="226" t="s">
        <v>396</v>
      </c>
      <c r="O7" s="38">
        <v>3</v>
      </c>
      <c r="P7" s="38">
        <v>20</v>
      </c>
      <c r="Q7" s="38">
        <v>8</v>
      </c>
      <c r="R7" s="38">
        <v>6</v>
      </c>
      <c r="S7" s="39">
        <v>3</v>
      </c>
    </row>
    <row r="8" spans="1:19" ht="15.75" thickBot="1" x14ac:dyDescent="0.3">
      <c r="A8" s="9" t="s">
        <v>1249</v>
      </c>
      <c r="C8" s="98" t="s">
        <v>1233</v>
      </c>
      <c r="E8" s="5"/>
      <c r="K8" s="9" t="s">
        <v>259</v>
      </c>
      <c r="M8" s="228">
        <v>200</v>
      </c>
      <c r="N8" s="40" t="s">
        <v>397</v>
      </c>
      <c r="O8" s="40">
        <v>4</v>
      </c>
      <c r="P8" s="40" t="s">
        <v>398</v>
      </c>
      <c r="Q8" s="40">
        <v>12</v>
      </c>
      <c r="R8" s="40">
        <v>8</v>
      </c>
      <c r="S8" s="41">
        <v>4</v>
      </c>
    </row>
    <row r="9" spans="1:19" ht="15.75" thickBot="1" x14ac:dyDescent="0.3">
      <c r="A9" s="8" t="s">
        <v>0</v>
      </c>
      <c r="C9" s="98" t="s">
        <v>1234</v>
      </c>
      <c r="E9" s="5"/>
      <c r="K9" s="105" t="s">
        <v>257</v>
      </c>
    </row>
    <row r="10" spans="1:19" ht="15.75" thickBot="1" x14ac:dyDescent="0.3">
      <c r="A10" s="52" t="s">
        <v>1</v>
      </c>
      <c r="C10" s="98" t="s">
        <v>1659</v>
      </c>
      <c r="E10" s="106" t="s">
        <v>1621</v>
      </c>
      <c r="K10" s="53" t="s">
        <v>258</v>
      </c>
    </row>
    <row r="11" spans="1:19" ht="15.75" thickBot="1" x14ac:dyDescent="0.3">
      <c r="A11" s="52" t="s">
        <v>368</v>
      </c>
      <c r="C11" s="98" t="s">
        <v>1658</v>
      </c>
      <c r="E11" s="8" t="s">
        <v>1598</v>
      </c>
      <c r="K11" s="5"/>
    </row>
    <row r="12" spans="1:19" ht="15.75" thickBot="1" x14ac:dyDescent="0.3">
      <c r="A12" s="52" t="s">
        <v>2</v>
      </c>
      <c r="C12" s="52" t="s">
        <v>68</v>
      </c>
      <c r="E12" s="52" t="s">
        <v>1599</v>
      </c>
      <c r="K12" s="5"/>
      <c r="M12" s="387" t="s">
        <v>1688</v>
      </c>
      <c r="N12" s="389"/>
    </row>
    <row r="13" spans="1:19" x14ac:dyDescent="0.25">
      <c r="A13" s="52" t="s">
        <v>2</v>
      </c>
      <c r="C13" s="98" t="s">
        <v>1002</v>
      </c>
      <c r="E13" s="52" t="s">
        <v>1600</v>
      </c>
      <c r="K13" s="5"/>
      <c r="M13" s="176" t="s">
        <v>354</v>
      </c>
      <c r="N13" s="177" t="s">
        <v>91</v>
      </c>
    </row>
    <row r="14" spans="1:19" x14ac:dyDescent="0.25">
      <c r="A14" s="52" t="s">
        <v>369</v>
      </c>
      <c r="C14" s="98" t="s">
        <v>890</v>
      </c>
      <c r="E14" s="52" t="s">
        <v>1601</v>
      </c>
      <c r="K14" s="5"/>
      <c r="M14" s="178">
        <v>1</v>
      </c>
      <c r="N14" s="168" t="s">
        <v>72</v>
      </c>
    </row>
    <row r="15" spans="1:19" x14ac:dyDescent="0.25">
      <c r="A15" s="52" t="s">
        <v>370</v>
      </c>
      <c r="C15" s="52" t="s">
        <v>69</v>
      </c>
      <c r="E15" s="52" t="s">
        <v>1602</v>
      </c>
      <c r="K15" s="5"/>
      <c r="M15" s="178">
        <v>2</v>
      </c>
      <c r="N15" s="168" t="s">
        <v>73</v>
      </c>
    </row>
    <row r="16" spans="1:19" x14ac:dyDescent="0.25">
      <c r="A16" s="52" t="s">
        <v>3</v>
      </c>
      <c r="C16" s="52" t="s">
        <v>70</v>
      </c>
      <c r="E16" s="52" t="s">
        <v>1603</v>
      </c>
      <c r="K16" s="5"/>
      <c r="M16" s="178">
        <v>3</v>
      </c>
      <c r="N16" s="168" t="s">
        <v>74</v>
      </c>
    </row>
    <row r="17" spans="1:14" x14ac:dyDescent="0.25">
      <c r="A17" s="52" t="s">
        <v>4</v>
      </c>
      <c r="C17" s="98" t="s">
        <v>1310</v>
      </c>
      <c r="E17" s="52" t="s">
        <v>1604</v>
      </c>
      <c r="K17" s="5"/>
      <c r="M17" s="178">
        <v>4</v>
      </c>
      <c r="N17" s="168" t="s">
        <v>75</v>
      </c>
    </row>
    <row r="18" spans="1:14" x14ac:dyDescent="0.25">
      <c r="A18" s="52" t="s">
        <v>5</v>
      </c>
      <c r="C18" s="98" t="s">
        <v>1311</v>
      </c>
      <c r="E18" s="52" t="s">
        <v>1605</v>
      </c>
      <c r="K18" s="5"/>
      <c r="M18" s="178">
        <v>5</v>
      </c>
      <c r="N18" s="168" t="s">
        <v>76</v>
      </c>
    </row>
    <row r="19" spans="1:14" x14ac:dyDescent="0.25">
      <c r="A19" s="52" t="s">
        <v>6</v>
      </c>
      <c r="C19" s="98" t="s">
        <v>1238</v>
      </c>
      <c r="E19" s="52" t="s">
        <v>1606</v>
      </c>
      <c r="K19" s="5"/>
      <c r="M19" s="178">
        <v>6</v>
      </c>
      <c r="N19" s="168" t="s">
        <v>77</v>
      </c>
    </row>
    <row r="20" spans="1:14" ht="15.75" thickBot="1" x14ac:dyDescent="0.3">
      <c r="A20" s="52" t="s">
        <v>371</v>
      </c>
      <c r="C20" s="53" t="s">
        <v>400</v>
      </c>
      <c r="E20" s="52" t="s">
        <v>1607</v>
      </c>
      <c r="K20" s="5"/>
      <c r="M20" s="178">
        <v>7</v>
      </c>
      <c r="N20" s="168" t="s">
        <v>78</v>
      </c>
    </row>
    <row r="21" spans="1:14" x14ac:dyDescent="0.25">
      <c r="A21" s="52" t="s">
        <v>372</v>
      </c>
      <c r="C21" s="11"/>
      <c r="E21" s="52" t="s">
        <v>1608</v>
      </c>
      <c r="K21" s="5"/>
      <c r="M21" s="178">
        <v>8</v>
      </c>
      <c r="N21" s="168" t="s">
        <v>71</v>
      </c>
    </row>
    <row r="22" spans="1:14" ht="15.75" thickBot="1" x14ac:dyDescent="0.3">
      <c r="A22" s="52" t="s">
        <v>7</v>
      </c>
      <c r="C22" s="11"/>
      <c r="E22" s="53" t="s">
        <v>1609</v>
      </c>
      <c r="K22" s="5"/>
      <c r="M22" s="178">
        <v>9</v>
      </c>
      <c r="N22" s="168" t="s">
        <v>79</v>
      </c>
    </row>
    <row r="23" spans="1:14" x14ac:dyDescent="0.25">
      <c r="A23" s="52" t="s">
        <v>8</v>
      </c>
      <c r="C23" s="11"/>
      <c r="E23" s="5"/>
      <c r="K23" s="5"/>
      <c r="M23" s="178">
        <v>10</v>
      </c>
      <c r="N23" s="168" t="s">
        <v>80</v>
      </c>
    </row>
    <row r="24" spans="1:14" ht="15.75" thickBot="1" x14ac:dyDescent="0.3">
      <c r="A24" s="52" t="s">
        <v>9</v>
      </c>
      <c r="C24" s="11"/>
      <c r="E24" s="5"/>
      <c r="K24" s="5"/>
      <c r="M24" s="179">
        <v>11</v>
      </c>
      <c r="N24" s="169" t="s">
        <v>81</v>
      </c>
    </row>
    <row r="25" spans="1:14" x14ac:dyDescent="0.25">
      <c r="A25" s="52" t="s">
        <v>10</v>
      </c>
      <c r="C25" s="11"/>
      <c r="E25" s="5"/>
      <c r="K25" s="5"/>
    </row>
    <row r="26" spans="1:14" x14ac:dyDescent="0.25">
      <c r="A26" s="52" t="s">
        <v>11</v>
      </c>
      <c r="C26" s="11"/>
      <c r="E26" s="5"/>
      <c r="K26" s="5"/>
    </row>
    <row r="27" spans="1:14" x14ac:dyDescent="0.25">
      <c r="A27" s="52" t="s">
        <v>12</v>
      </c>
      <c r="C27" s="5"/>
      <c r="E27" s="5"/>
    </row>
    <row r="28" spans="1:14" ht="15.75" thickBot="1" x14ac:dyDescent="0.3">
      <c r="A28" s="52" t="s">
        <v>373</v>
      </c>
    </row>
    <row r="29" spans="1:14" ht="15.75" thickBot="1" x14ac:dyDescent="0.3">
      <c r="A29" s="52" t="s">
        <v>13</v>
      </c>
      <c r="C29" s="9" t="s">
        <v>206</v>
      </c>
      <c r="E29" s="9" t="s">
        <v>195</v>
      </c>
      <c r="G29" s="9" t="s">
        <v>205</v>
      </c>
      <c r="K29" s="9" t="s">
        <v>187</v>
      </c>
    </row>
    <row r="30" spans="1:14" x14ac:dyDescent="0.25">
      <c r="A30" s="52" t="s">
        <v>14</v>
      </c>
      <c r="C30" s="8" t="s">
        <v>207</v>
      </c>
      <c r="E30" s="8" t="s">
        <v>196</v>
      </c>
      <c r="G30" s="100">
        <v>4</v>
      </c>
      <c r="K30" s="101">
        <v>1</v>
      </c>
    </row>
    <row r="31" spans="1:14" x14ac:dyDescent="0.25">
      <c r="A31" s="52" t="s">
        <v>15</v>
      </c>
      <c r="C31" s="52" t="s">
        <v>208</v>
      </c>
      <c r="E31" s="52" t="s">
        <v>197</v>
      </c>
      <c r="G31" s="54">
        <v>6</v>
      </c>
      <c r="K31" s="54">
        <v>2</v>
      </c>
    </row>
    <row r="32" spans="1:14" x14ac:dyDescent="0.25">
      <c r="A32" s="52" t="s">
        <v>154</v>
      </c>
      <c r="C32" s="98" t="s">
        <v>215</v>
      </c>
      <c r="E32" s="52" t="s">
        <v>198</v>
      </c>
      <c r="G32" s="54">
        <v>8</v>
      </c>
      <c r="K32" s="54">
        <v>3</v>
      </c>
    </row>
    <row r="33" spans="1:11" x14ac:dyDescent="0.25">
      <c r="A33" s="52" t="s">
        <v>16</v>
      </c>
      <c r="C33" s="52" t="s">
        <v>209</v>
      </c>
      <c r="E33" s="52" t="s">
        <v>200</v>
      </c>
      <c r="G33" s="54">
        <v>10</v>
      </c>
      <c r="K33" s="54">
        <v>4</v>
      </c>
    </row>
    <row r="34" spans="1:11" ht="15.75" thickBot="1" x14ac:dyDescent="0.3">
      <c r="A34" s="52" t="s">
        <v>17</v>
      </c>
      <c r="C34" s="52" t="s">
        <v>210</v>
      </c>
      <c r="E34" s="52" t="s">
        <v>199</v>
      </c>
      <c r="G34" s="55">
        <v>12</v>
      </c>
      <c r="K34" s="54">
        <v>5</v>
      </c>
    </row>
    <row r="35" spans="1:11" x14ac:dyDescent="0.25">
      <c r="A35" s="52" t="s">
        <v>18</v>
      </c>
      <c r="C35" s="52" t="s">
        <v>211</v>
      </c>
      <c r="E35" s="52" t="s">
        <v>201</v>
      </c>
      <c r="K35" s="54">
        <v>7</v>
      </c>
    </row>
    <row r="36" spans="1:11" x14ac:dyDescent="0.25">
      <c r="A36" s="52" t="s">
        <v>19</v>
      </c>
      <c r="C36" s="52" t="s">
        <v>212</v>
      </c>
      <c r="E36" s="98" t="s">
        <v>202</v>
      </c>
      <c r="K36" s="54">
        <v>8</v>
      </c>
    </row>
    <row r="37" spans="1:11" x14ac:dyDescent="0.25">
      <c r="A37" s="52" t="s">
        <v>374</v>
      </c>
      <c r="C37" s="52" t="s">
        <v>213</v>
      </c>
      <c r="E37" s="98" t="s">
        <v>203</v>
      </c>
      <c r="K37" s="54">
        <v>9</v>
      </c>
    </row>
    <row r="38" spans="1:11" ht="15.75" thickBot="1" x14ac:dyDescent="0.3">
      <c r="A38" s="52" t="s">
        <v>20</v>
      </c>
      <c r="C38" s="53" t="s">
        <v>214</v>
      </c>
      <c r="E38" s="99" t="s">
        <v>204</v>
      </c>
      <c r="K38" s="54">
        <v>10</v>
      </c>
    </row>
    <row r="39" spans="1:11" ht="15.75" thickBot="1" x14ac:dyDescent="0.3">
      <c r="A39" s="52" t="s">
        <v>21</v>
      </c>
      <c r="K39" s="54">
        <v>11</v>
      </c>
    </row>
    <row r="40" spans="1:11" x14ac:dyDescent="0.25">
      <c r="A40" s="52" t="s">
        <v>22</v>
      </c>
      <c r="C40" s="103" t="s">
        <v>186</v>
      </c>
      <c r="E40" s="103" t="s">
        <v>56</v>
      </c>
      <c r="K40" s="54">
        <v>12</v>
      </c>
    </row>
    <row r="41" spans="1:11" x14ac:dyDescent="0.25">
      <c r="A41" s="52" t="s">
        <v>23</v>
      </c>
      <c r="C41" s="52" t="s">
        <v>216</v>
      </c>
      <c r="E41" s="52" t="s">
        <v>263</v>
      </c>
      <c r="K41" s="54">
        <v>13</v>
      </c>
    </row>
    <row r="42" spans="1:11" x14ac:dyDescent="0.25">
      <c r="A42" s="52" t="s">
        <v>24</v>
      </c>
      <c r="C42" s="52" t="s">
        <v>217</v>
      </c>
      <c r="E42" s="52" t="s">
        <v>264</v>
      </c>
      <c r="K42" s="54">
        <v>14</v>
      </c>
    </row>
    <row r="43" spans="1:11" x14ac:dyDescent="0.25">
      <c r="A43" s="52" t="s">
        <v>25</v>
      </c>
      <c r="C43" s="52" t="s">
        <v>218</v>
      </c>
      <c r="E43" s="52" t="s">
        <v>265</v>
      </c>
      <c r="K43" s="54">
        <v>15</v>
      </c>
    </row>
    <row r="44" spans="1:11" x14ac:dyDescent="0.25">
      <c r="A44" s="52" t="s">
        <v>375</v>
      </c>
      <c r="C44" s="52" t="s">
        <v>219</v>
      </c>
      <c r="E44" s="52" t="s">
        <v>266</v>
      </c>
      <c r="K44" s="54">
        <v>16</v>
      </c>
    </row>
    <row r="45" spans="1:11" x14ac:dyDescent="0.25">
      <c r="A45" s="52" t="s">
        <v>26</v>
      </c>
      <c r="C45" s="52" t="s">
        <v>220</v>
      </c>
      <c r="E45" s="52" t="s">
        <v>267</v>
      </c>
      <c r="K45" s="54">
        <v>17</v>
      </c>
    </row>
    <row r="46" spans="1:11" x14ac:dyDescent="0.25">
      <c r="A46" s="52" t="s">
        <v>27</v>
      </c>
      <c r="C46" s="52" t="s">
        <v>221</v>
      </c>
      <c r="E46" s="52" t="s">
        <v>228</v>
      </c>
      <c r="K46" s="54">
        <v>18</v>
      </c>
    </row>
    <row r="47" spans="1:11" x14ac:dyDescent="0.25">
      <c r="A47" s="52" t="s">
        <v>376</v>
      </c>
      <c r="C47" s="52" t="s">
        <v>222</v>
      </c>
      <c r="E47" s="52" t="s">
        <v>229</v>
      </c>
      <c r="K47" s="54">
        <v>19</v>
      </c>
    </row>
    <row r="48" spans="1:11" ht="15.75" thickBot="1" x14ac:dyDescent="0.3">
      <c r="A48" s="52" t="s">
        <v>28</v>
      </c>
      <c r="C48" s="52" t="s">
        <v>223</v>
      </c>
      <c r="E48" s="52" t="s">
        <v>230</v>
      </c>
      <c r="K48" s="55">
        <v>20</v>
      </c>
    </row>
    <row r="49" spans="1:11" ht="15.75" thickBot="1" x14ac:dyDescent="0.3">
      <c r="A49" s="52" t="s">
        <v>1248</v>
      </c>
      <c r="C49" s="52" t="s">
        <v>224</v>
      </c>
      <c r="E49" s="52" t="s">
        <v>231</v>
      </c>
    </row>
    <row r="50" spans="1:11" ht="15.75" thickBot="1" x14ac:dyDescent="0.3">
      <c r="A50" s="52" t="s">
        <v>29</v>
      </c>
      <c r="C50" s="52" t="s">
        <v>225</v>
      </c>
      <c r="E50" s="52" t="s">
        <v>232</v>
      </c>
      <c r="K50" s="9" t="s">
        <v>268</v>
      </c>
    </row>
    <row r="51" spans="1:11" x14ac:dyDescent="0.25">
      <c r="A51" s="52" t="s">
        <v>30</v>
      </c>
      <c r="C51" s="52" t="s">
        <v>226</v>
      </c>
      <c r="E51" s="52" t="s">
        <v>233</v>
      </c>
      <c r="K51" s="110">
        <v>-4</v>
      </c>
    </row>
    <row r="52" spans="1:11" ht="15.75" thickBot="1" x14ac:dyDescent="0.3">
      <c r="A52" s="52" t="s">
        <v>31</v>
      </c>
      <c r="C52" s="53" t="s">
        <v>227</v>
      </c>
      <c r="E52" s="52" t="s">
        <v>234</v>
      </c>
      <c r="K52" s="108">
        <v>-3</v>
      </c>
    </row>
    <row r="53" spans="1:11" ht="15.75" thickBot="1" x14ac:dyDescent="0.3">
      <c r="A53" s="52" t="s">
        <v>32</v>
      </c>
      <c r="E53" s="53" t="s">
        <v>253</v>
      </c>
      <c r="K53" s="108">
        <v>-2</v>
      </c>
    </row>
    <row r="54" spans="1:11" x14ac:dyDescent="0.25">
      <c r="A54" s="52" t="s">
        <v>33</v>
      </c>
      <c r="K54" s="108">
        <v>-1</v>
      </c>
    </row>
    <row r="55" spans="1:11" x14ac:dyDescent="0.25">
      <c r="A55" s="52" t="s">
        <v>34</v>
      </c>
      <c r="K55" s="108">
        <v>0</v>
      </c>
    </row>
    <row r="56" spans="1:11" x14ac:dyDescent="0.25">
      <c r="A56" s="52" t="s">
        <v>35</v>
      </c>
      <c r="K56" s="108">
        <v>1</v>
      </c>
    </row>
    <row r="57" spans="1:11" ht="15.75" thickBot="1" x14ac:dyDescent="0.3">
      <c r="A57" s="52" t="s">
        <v>36</v>
      </c>
      <c r="K57" s="108">
        <v>2</v>
      </c>
    </row>
    <row r="58" spans="1:11" x14ac:dyDescent="0.25">
      <c r="A58" s="52" t="s">
        <v>37</v>
      </c>
      <c r="E58" s="103" t="s">
        <v>235</v>
      </c>
      <c r="K58" s="108">
        <v>3</v>
      </c>
    </row>
    <row r="59" spans="1:11" x14ac:dyDescent="0.25">
      <c r="A59" s="52" t="s">
        <v>38</v>
      </c>
      <c r="E59" s="52" t="s">
        <v>236</v>
      </c>
      <c r="K59" s="108">
        <v>4</v>
      </c>
    </row>
    <row r="60" spans="1:11" x14ac:dyDescent="0.25">
      <c r="A60" s="52" t="s">
        <v>39</v>
      </c>
      <c r="E60" s="52" t="s">
        <v>240</v>
      </c>
      <c r="K60" s="108">
        <v>5</v>
      </c>
    </row>
    <row r="61" spans="1:11" x14ac:dyDescent="0.25">
      <c r="A61" s="52" t="s">
        <v>40</v>
      </c>
      <c r="E61" s="52" t="s">
        <v>251</v>
      </c>
      <c r="K61" s="108">
        <v>6</v>
      </c>
    </row>
    <row r="62" spans="1:11" x14ac:dyDescent="0.25">
      <c r="A62" s="52" t="s">
        <v>41</v>
      </c>
      <c r="E62" s="52" t="s">
        <v>237</v>
      </c>
      <c r="K62" s="108">
        <v>7</v>
      </c>
    </row>
    <row r="63" spans="1:11" x14ac:dyDescent="0.25">
      <c r="A63" s="52" t="s">
        <v>42</v>
      </c>
      <c r="E63" s="52" t="s">
        <v>239</v>
      </c>
      <c r="K63" s="108">
        <v>8</v>
      </c>
    </row>
    <row r="64" spans="1:11" x14ac:dyDescent="0.25">
      <c r="A64" s="52" t="s">
        <v>377</v>
      </c>
      <c r="E64" s="52" t="s">
        <v>243</v>
      </c>
      <c r="K64" s="108">
        <v>9</v>
      </c>
    </row>
    <row r="65" spans="1:11" ht="15.75" thickBot="1" x14ac:dyDescent="0.3">
      <c r="A65" s="53" t="s">
        <v>378</v>
      </c>
      <c r="E65" s="52" t="s">
        <v>252</v>
      </c>
      <c r="K65" s="109">
        <v>10</v>
      </c>
    </row>
    <row r="66" spans="1:11" ht="15.75" thickBot="1" x14ac:dyDescent="0.3">
      <c r="E66" s="52" t="s">
        <v>244</v>
      </c>
    </row>
    <row r="67" spans="1:11" ht="15.75" thickBot="1" x14ac:dyDescent="0.3">
      <c r="E67" s="52" t="s">
        <v>245</v>
      </c>
      <c r="K67" s="9" t="s">
        <v>188</v>
      </c>
    </row>
    <row r="68" spans="1:11" x14ac:dyDescent="0.25">
      <c r="E68" s="52" t="s">
        <v>241</v>
      </c>
      <c r="K68" s="110">
        <v>-4</v>
      </c>
    </row>
    <row r="69" spans="1:11" x14ac:dyDescent="0.25">
      <c r="E69" s="52" t="s">
        <v>246</v>
      </c>
      <c r="K69" s="108">
        <v>-3</v>
      </c>
    </row>
    <row r="70" spans="1:11" x14ac:dyDescent="0.25">
      <c r="E70" s="52" t="s">
        <v>238</v>
      </c>
      <c r="K70" s="108">
        <v>-2</v>
      </c>
    </row>
    <row r="71" spans="1:11" x14ac:dyDescent="0.25">
      <c r="E71" s="52" t="s">
        <v>247</v>
      </c>
      <c r="K71" s="108">
        <v>-1</v>
      </c>
    </row>
    <row r="72" spans="1:11" x14ac:dyDescent="0.25">
      <c r="E72" s="52" t="s">
        <v>248</v>
      </c>
      <c r="K72" s="108">
        <v>0</v>
      </c>
    </row>
    <row r="73" spans="1:11" x14ac:dyDescent="0.25">
      <c r="E73" s="52" t="s">
        <v>249</v>
      </c>
      <c r="K73" s="108">
        <v>1</v>
      </c>
    </row>
    <row r="74" spans="1:11" x14ac:dyDescent="0.25">
      <c r="E74" s="52" t="s">
        <v>250</v>
      </c>
      <c r="K74" s="108">
        <v>2</v>
      </c>
    </row>
    <row r="75" spans="1:11" ht="15.75" thickBot="1" x14ac:dyDescent="0.3">
      <c r="E75" s="53" t="s">
        <v>242</v>
      </c>
      <c r="K75" s="108">
        <v>3</v>
      </c>
    </row>
    <row r="76" spans="1:11" ht="15.75" thickBot="1" x14ac:dyDescent="0.3">
      <c r="K76" s="109">
        <v>4</v>
      </c>
    </row>
  </sheetData>
  <sortState ref="C3:C20">
    <sortCondition ref="C2"/>
  </sortState>
  <mergeCells count="2">
    <mergeCell ref="M1:S1"/>
    <mergeCell ref="M12:N1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27"/>
  <sheetViews>
    <sheetView workbookViewId="0">
      <selection activeCell="F2" sqref="F2"/>
    </sheetView>
  </sheetViews>
  <sheetFormatPr defaultRowHeight="15" x14ac:dyDescent="0.25"/>
  <cols>
    <col min="2" max="2" width="20.5703125" customWidth="1"/>
    <col min="3" max="6" width="11.140625" customWidth="1"/>
  </cols>
  <sheetData>
    <row r="1" spans="1:6" x14ac:dyDescent="0.25">
      <c r="A1" s="51" t="s">
        <v>144</v>
      </c>
      <c r="B1" s="51" t="s">
        <v>83</v>
      </c>
      <c r="C1" s="51" t="s">
        <v>2</v>
      </c>
      <c r="D1" s="51" t="s">
        <v>9</v>
      </c>
      <c r="E1" s="51" t="s">
        <v>42</v>
      </c>
      <c r="F1" s="51" t="s">
        <v>146</v>
      </c>
    </row>
    <row r="2" spans="1:6" ht="13.5" customHeight="1" x14ac:dyDescent="0.25">
      <c r="A2" t="s">
        <v>119</v>
      </c>
      <c r="B2" s="56" t="str">
        <f>'City 1'!$D$2</f>
        <v>Grenhelm City</v>
      </c>
      <c r="C2" s="56">
        <f>'City 1'!$D$14</f>
        <v>0</v>
      </c>
      <c r="D2" s="56">
        <f>'City 1'!$D$28</f>
        <v>0</v>
      </c>
      <c r="E2" s="56">
        <f>'City 1'!$AJ$36</f>
        <v>0</v>
      </c>
      <c r="F2" s="56">
        <f>'City 1'!$AJ$6</f>
        <v>1</v>
      </c>
    </row>
    <row r="3" spans="1:6" x14ac:dyDescent="0.25">
      <c r="A3" t="s">
        <v>120</v>
      </c>
      <c r="B3" s="56">
        <f>'City 2'!$D$2</f>
        <v>0</v>
      </c>
      <c r="C3" s="56">
        <f>'City 2'!$D$14</f>
        <v>0</v>
      </c>
      <c r="D3" s="56">
        <f>'City 2'!$D$28</f>
        <v>0</v>
      </c>
      <c r="E3" s="56">
        <f>'City 2'!$AJ$36</f>
        <v>0</v>
      </c>
      <c r="F3" s="56">
        <f>'City 2'!$AJ$6</f>
        <v>0</v>
      </c>
    </row>
    <row r="4" spans="1:6" x14ac:dyDescent="0.25">
      <c r="A4" t="s">
        <v>121</v>
      </c>
      <c r="B4" s="56">
        <f>'City 3'!$D$2</f>
        <v>0</v>
      </c>
      <c r="C4" s="56">
        <f>'City 3'!$D$14</f>
        <v>0</v>
      </c>
      <c r="D4" s="56">
        <f>'City 3'!$D$28</f>
        <v>0</v>
      </c>
      <c r="E4" s="56">
        <f>'City 3'!$AJ$36</f>
        <v>0</v>
      </c>
      <c r="F4" s="56">
        <f>'City 3'!$AJ$6</f>
        <v>0</v>
      </c>
    </row>
    <row r="5" spans="1:6" x14ac:dyDescent="0.25">
      <c r="A5" t="s">
        <v>122</v>
      </c>
      <c r="B5" s="56">
        <f>'City 4'!$D$2</f>
        <v>0</v>
      </c>
      <c r="C5" s="56">
        <f>'City 4'!$D$14</f>
        <v>0</v>
      </c>
      <c r="D5" s="56">
        <f>'City 4'!$D$28</f>
        <v>0</v>
      </c>
      <c r="E5" s="56">
        <f>'City 4'!$AJ$36</f>
        <v>0</v>
      </c>
      <c r="F5" s="56">
        <f>'City 4'!$AJ$6</f>
        <v>0</v>
      </c>
    </row>
    <row r="6" spans="1:6" x14ac:dyDescent="0.25">
      <c r="A6" t="s">
        <v>123</v>
      </c>
      <c r="B6" s="56">
        <f>'City 5'!$D$2</f>
        <v>0</v>
      </c>
      <c r="C6" s="56">
        <f>'City 5'!$D$14</f>
        <v>0</v>
      </c>
      <c r="D6" s="56">
        <f>'City 5'!$D$28</f>
        <v>0</v>
      </c>
      <c r="E6" s="56">
        <f>'City 5'!$AJ$36</f>
        <v>0</v>
      </c>
      <c r="F6" s="56">
        <f>'City 5'!$AJ$6</f>
        <v>0</v>
      </c>
    </row>
    <row r="7" spans="1:6" x14ac:dyDescent="0.25">
      <c r="A7" t="s">
        <v>124</v>
      </c>
      <c r="B7" s="56">
        <f>'City 6'!$D$2</f>
        <v>0</v>
      </c>
      <c r="C7" s="56">
        <f>'City 6'!$D$14</f>
        <v>0</v>
      </c>
      <c r="D7" s="56">
        <f>'City 6'!$D$28</f>
        <v>0</v>
      </c>
      <c r="E7" s="56">
        <f>'City 6'!$AJ$36</f>
        <v>0</v>
      </c>
      <c r="F7" s="56">
        <f>'City 6'!$AJ$6</f>
        <v>0</v>
      </c>
    </row>
    <row r="8" spans="1:6" x14ac:dyDescent="0.25">
      <c r="A8" t="s">
        <v>125</v>
      </c>
      <c r="B8" s="56">
        <f>'City 7'!$D$2</f>
        <v>0</v>
      </c>
      <c r="C8" s="56">
        <f>'City 7'!$D$14</f>
        <v>0</v>
      </c>
      <c r="D8" s="56">
        <f>'City 7'!$D$28</f>
        <v>0</v>
      </c>
      <c r="E8" s="56">
        <f>'City 7'!$AJ$36</f>
        <v>0</v>
      </c>
      <c r="F8" s="56">
        <f>'City 7'!$AJ$6</f>
        <v>0</v>
      </c>
    </row>
    <row r="9" spans="1:6" x14ac:dyDescent="0.25">
      <c r="A9" t="s">
        <v>126</v>
      </c>
      <c r="B9" s="56">
        <f>'City 8'!$D$2</f>
        <v>0</v>
      </c>
      <c r="C9" s="56">
        <f>'City 8'!$D$14</f>
        <v>0</v>
      </c>
      <c r="D9" s="56">
        <f>'City 8'!$D$28</f>
        <v>0</v>
      </c>
      <c r="E9" s="56">
        <f>'City 8'!$AJ$36</f>
        <v>0</v>
      </c>
      <c r="F9" s="56">
        <f>'City 8'!$AJ$6</f>
        <v>0</v>
      </c>
    </row>
    <row r="10" spans="1:6" x14ac:dyDescent="0.25">
      <c r="A10" t="s">
        <v>127</v>
      </c>
      <c r="B10" s="56">
        <f>'City 9'!$D$2</f>
        <v>0</v>
      </c>
      <c r="C10" s="56">
        <f>'City 9'!$D$14</f>
        <v>0</v>
      </c>
      <c r="D10" s="56">
        <f>'City 9'!$D$28</f>
        <v>0</v>
      </c>
      <c r="E10" s="56">
        <f>'City 9'!$AJ$36</f>
        <v>0</v>
      </c>
      <c r="F10" s="56">
        <f>'City 9'!$AJ$6</f>
        <v>0</v>
      </c>
    </row>
    <row r="11" spans="1:6" x14ac:dyDescent="0.25">
      <c r="A11" t="s">
        <v>128</v>
      </c>
      <c r="B11" s="56">
        <f>'City 10'!$D$2</f>
        <v>0</v>
      </c>
      <c r="C11" s="56">
        <f>'City 10'!$D$14</f>
        <v>0</v>
      </c>
      <c r="D11" s="56">
        <f>'City 10'!$D$28</f>
        <v>0</v>
      </c>
      <c r="E11" s="56">
        <f>'City 10'!$AJ$36</f>
        <v>0</v>
      </c>
      <c r="F11" s="56">
        <f>'City 10'!$AJ$6</f>
        <v>0</v>
      </c>
    </row>
    <row r="12" spans="1:6" x14ac:dyDescent="0.25">
      <c r="A12" t="s">
        <v>129</v>
      </c>
      <c r="B12" s="56">
        <f>'City 11'!$D$2</f>
        <v>0</v>
      </c>
      <c r="C12" s="56">
        <f>'City 11'!$D$14</f>
        <v>0</v>
      </c>
      <c r="D12" s="56">
        <f>'City 11'!$D$28</f>
        <v>0</v>
      </c>
      <c r="E12" s="56">
        <f>'City 11'!$AJ$36</f>
        <v>0</v>
      </c>
      <c r="F12" s="56">
        <f>'City 11'!$AJ$6</f>
        <v>0</v>
      </c>
    </row>
    <row r="13" spans="1:6" x14ac:dyDescent="0.25">
      <c r="A13" t="s">
        <v>130</v>
      </c>
      <c r="B13" s="56">
        <f>'City 12'!$D$2</f>
        <v>0</v>
      </c>
      <c r="C13" s="56">
        <f>'City 12'!$D$14</f>
        <v>0</v>
      </c>
      <c r="D13" s="56">
        <f>'City 12'!$D$28</f>
        <v>0</v>
      </c>
      <c r="E13" s="56">
        <f>'City 12'!$AJ$36</f>
        <v>0</v>
      </c>
      <c r="F13" s="56">
        <f>'City 12'!$AJ$6</f>
        <v>0</v>
      </c>
    </row>
    <row r="14" spans="1:6" x14ac:dyDescent="0.25">
      <c r="A14" t="s">
        <v>131</v>
      </c>
      <c r="B14" s="56">
        <f>'City 13'!$D$2</f>
        <v>0</v>
      </c>
      <c r="C14" s="56">
        <f>'City 13'!$D$14</f>
        <v>0</v>
      </c>
      <c r="D14" s="56">
        <f>'City 13'!$D$28</f>
        <v>0</v>
      </c>
      <c r="E14" s="56">
        <f>'City 13'!$AJ$36</f>
        <v>0</v>
      </c>
      <c r="F14" s="56">
        <f>'City 13'!$AJ$6</f>
        <v>0</v>
      </c>
    </row>
    <row r="15" spans="1:6" x14ac:dyDescent="0.25">
      <c r="A15" t="s">
        <v>132</v>
      </c>
      <c r="B15" s="56">
        <f>'City 14'!$D$2</f>
        <v>0</v>
      </c>
      <c r="C15" s="56">
        <f>'City 14'!$D$14</f>
        <v>0</v>
      </c>
      <c r="D15" s="56">
        <f>'City 14'!$D$28</f>
        <v>0</v>
      </c>
      <c r="E15" s="56">
        <f>'City 14'!$AJ$36</f>
        <v>0</v>
      </c>
      <c r="F15" s="56">
        <f>'City 14'!$AJ$6</f>
        <v>0</v>
      </c>
    </row>
    <row r="16" spans="1:6" x14ac:dyDescent="0.25">
      <c r="A16" t="s">
        <v>133</v>
      </c>
      <c r="B16" s="56">
        <f>'City 15'!$D$2</f>
        <v>0</v>
      </c>
      <c r="C16" s="56">
        <f>'City 15'!$D$14</f>
        <v>0</v>
      </c>
      <c r="D16" s="56">
        <f>'City 15'!$D$28</f>
        <v>0</v>
      </c>
      <c r="E16" s="56">
        <f>'City 15'!$AJ$36</f>
        <v>0</v>
      </c>
      <c r="F16" s="56">
        <f>'City 15'!$AJ$6</f>
        <v>0</v>
      </c>
    </row>
    <row r="17" spans="1:6" x14ac:dyDescent="0.25">
      <c r="A17" t="s">
        <v>134</v>
      </c>
      <c r="B17" s="56">
        <f>'City 16'!$D$2</f>
        <v>0</v>
      </c>
      <c r="C17" s="56">
        <f>'City 16'!$D$14</f>
        <v>0</v>
      </c>
      <c r="D17" s="56">
        <f>'City 16'!$D$28</f>
        <v>0</v>
      </c>
      <c r="E17" s="56">
        <f>'City 16'!$AJ$36</f>
        <v>0</v>
      </c>
      <c r="F17" s="56">
        <f>'City 16'!$AJ$6</f>
        <v>0</v>
      </c>
    </row>
    <row r="18" spans="1:6" x14ac:dyDescent="0.25">
      <c r="A18" t="s">
        <v>135</v>
      </c>
      <c r="B18" s="56">
        <f>'City 17'!$D$2</f>
        <v>0</v>
      </c>
      <c r="C18" s="56">
        <f>'City 17'!$D$14</f>
        <v>0</v>
      </c>
      <c r="D18" s="56">
        <f>'City 17'!$D$28</f>
        <v>0</v>
      </c>
      <c r="E18" s="56">
        <f>'City 17'!$AJ$36</f>
        <v>0</v>
      </c>
      <c r="F18" s="56">
        <f>'City 17'!$AJ$6</f>
        <v>0</v>
      </c>
    </row>
    <row r="19" spans="1:6" x14ac:dyDescent="0.25">
      <c r="A19" t="s">
        <v>136</v>
      </c>
      <c r="B19" s="56">
        <f>'City 18'!$D$2</f>
        <v>0</v>
      </c>
      <c r="C19" s="56">
        <f>'City 18'!$D$14</f>
        <v>0</v>
      </c>
      <c r="D19" s="56">
        <f>'City 18'!$D$28</f>
        <v>0</v>
      </c>
      <c r="E19" s="56">
        <f>'City 18'!$AJ$36</f>
        <v>0</v>
      </c>
      <c r="F19" s="56">
        <f>'City 18'!$AJ$6</f>
        <v>0</v>
      </c>
    </row>
    <row r="20" spans="1:6" x14ac:dyDescent="0.25">
      <c r="A20" t="s">
        <v>137</v>
      </c>
      <c r="B20" s="56">
        <f>'City 19'!$D$2</f>
        <v>0</v>
      </c>
      <c r="C20" s="56">
        <f>'City 19'!$D$14</f>
        <v>0</v>
      </c>
      <c r="D20" s="56">
        <f>'City 19'!$D$28</f>
        <v>0</v>
      </c>
      <c r="E20" s="56">
        <f>'City 19'!$AJ$36</f>
        <v>0</v>
      </c>
      <c r="F20" s="56">
        <f>'City 19'!$AJ$6</f>
        <v>0</v>
      </c>
    </row>
    <row r="21" spans="1:6" x14ac:dyDescent="0.25">
      <c r="A21" t="s">
        <v>138</v>
      </c>
      <c r="B21" s="56">
        <f>'City 20'!$D$2</f>
        <v>0</v>
      </c>
      <c r="C21" s="56">
        <f>'City 20'!$D$14</f>
        <v>0</v>
      </c>
      <c r="D21" s="56">
        <f>'City 20'!$D$28</f>
        <v>0</v>
      </c>
      <c r="E21" s="56">
        <f>'City 20'!$AJ$36</f>
        <v>0</v>
      </c>
      <c r="F21" s="56">
        <f>'City 20'!$AJ$6</f>
        <v>0</v>
      </c>
    </row>
    <row r="22" spans="1:6" x14ac:dyDescent="0.25">
      <c r="A22" t="s">
        <v>139</v>
      </c>
      <c r="B22" s="56">
        <f>'City 21'!$D$2</f>
        <v>0</v>
      </c>
      <c r="C22" s="56">
        <f>'City 21'!$D$14</f>
        <v>0</v>
      </c>
      <c r="D22" s="56">
        <f>'City 21'!$D$28</f>
        <v>0</v>
      </c>
      <c r="E22" s="56">
        <f>'City 21'!$AJ$36</f>
        <v>0</v>
      </c>
      <c r="F22" s="56">
        <f>'City 21'!$AJ$6</f>
        <v>0</v>
      </c>
    </row>
    <row r="23" spans="1:6" x14ac:dyDescent="0.25">
      <c r="A23" t="s">
        <v>140</v>
      </c>
      <c r="B23" s="56">
        <f>'City 22'!$D$2</f>
        <v>0</v>
      </c>
      <c r="C23" s="56">
        <f>'City 22'!$D$14</f>
        <v>0</v>
      </c>
      <c r="D23" s="56">
        <f>'City 22'!$D$28</f>
        <v>0</v>
      </c>
      <c r="E23" s="56">
        <f>'City 22'!$AJ$36</f>
        <v>0</v>
      </c>
      <c r="F23" s="56">
        <f>'City 22'!$AJ$6</f>
        <v>0</v>
      </c>
    </row>
    <row r="24" spans="1:6" x14ac:dyDescent="0.25">
      <c r="A24" t="s">
        <v>141</v>
      </c>
      <c r="B24" s="56">
        <f>'City 23'!$D$2</f>
        <v>0</v>
      </c>
      <c r="C24" s="56">
        <f>'City 23'!$D$14</f>
        <v>0</v>
      </c>
      <c r="D24" s="56">
        <f>'City 23'!$D$28</f>
        <v>0</v>
      </c>
      <c r="E24" s="56">
        <f>'City 23'!$AJ$36</f>
        <v>0</v>
      </c>
      <c r="F24" s="56">
        <f>'City 23'!$AJ$6</f>
        <v>0</v>
      </c>
    </row>
    <row r="25" spans="1:6" x14ac:dyDescent="0.25">
      <c r="A25" t="s">
        <v>142</v>
      </c>
      <c r="B25" s="56">
        <f>'City 24'!$D$2</f>
        <v>0</v>
      </c>
      <c r="C25" s="56">
        <f>'City 24'!$D$14</f>
        <v>0</v>
      </c>
      <c r="D25" s="56">
        <f>'City 24'!$D$28</f>
        <v>0</v>
      </c>
      <c r="E25" s="56">
        <f>'City 24'!$AJ$36</f>
        <v>0</v>
      </c>
      <c r="F25" s="56">
        <f>'City 24'!$AJ$6</f>
        <v>0</v>
      </c>
    </row>
    <row r="26" spans="1:6" x14ac:dyDescent="0.25">
      <c r="A26" t="s">
        <v>143</v>
      </c>
      <c r="B26" s="56">
        <f>'City 25'!$D$2</f>
        <v>0</v>
      </c>
      <c r="C26" s="56">
        <f>'City 25'!$D$14</f>
        <v>0</v>
      </c>
      <c r="D26" s="56">
        <f>'City 25'!$D$28</f>
        <v>0</v>
      </c>
      <c r="E26" s="56">
        <f>'City 25'!$AJ$36</f>
        <v>0</v>
      </c>
      <c r="F26" s="56">
        <f>'City 25'!$AJ$6</f>
        <v>0</v>
      </c>
    </row>
    <row r="27" spans="1:6" x14ac:dyDescent="0.25">
      <c r="C27">
        <f>SUM(C2:C26)</f>
        <v>0</v>
      </c>
      <c r="D27">
        <f>SUM(D2:D26)</f>
        <v>0</v>
      </c>
      <c r="E27">
        <f>SUM(E2:E26)</f>
        <v>0</v>
      </c>
      <c r="F27">
        <f>SUM(F2:F26)</f>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26</vt:i4>
      </vt:variant>
    </vt:vector>
  </HeadingPairs>
  <TitlesOfParts>
    <vt:vector size="80" baseType="lpstr">
      <vt:lpstr>Overall</vt:lpstr>
      <vt:lpstr>Experience</vt:lpstr>
      <vt:lpstr>House Rules</vt:lpstr>
      <vt:lpstr>Kingdom</vt:lpstr>
      <vt:lpstr>City Summary</vt:lpstr>
      <vt:lpstr>Army Summary</vt:lpstr>
      <vt:lpstr>Event Generator</vt:lpstr>
      <vt:lpstr>Drop Down</vt:lpstr>
      <vt:lpstr>City Overview</vt:lpstr>
      <vt:lpstr>NEW EVENTS</vt:lpstr>
      <vt:lpstr>City Map 1</vt:lpstr>
      <vt:lpstr>City 1</vt:lpstr>
      <vt:lpstr>City 2</vt:lpstr>
      <vt:lpstr>City Map 2</vt:lpstr>
      <vt:lpstr>City 3</vt:lpstr>
      <vt:lpstr>City Map 3</vt:lpstr>
      <vt:lpstr>City 4</vt:lpstr>
      <vt:lpstr>City Map 4</vt:lpstr>
      <vt:lpstr>City 5</vt:lpstr>
      <vt:lpstr>City 6</vt:lpstr>
      <vt:lpstr>City 7</vt:lpstr>
      <vt:lpstr>City 8</vt:lpstr>
      <vt:lpstr>City 9</vt:lpstr>
      <vt:lpstr>City 10</vt:lpstr>
      <vt:lpstr>City 11</vt:lpstr>
      <vt:lpstr>City 12</vt:lpstr>
      <vt:lpstr>City 13</vt:lpstr>
      <vt:lpstr>City 14</vt:lpstr>
      <vt:lpstr>City 15</vt:lpstr>
      <vt:lpstr>City 16</vt:lpstr>
      <vt:lpstr>City 17</vt:lpstr>
      <vt:lpstr>City 18</vt:lpstr>
      <vt:lpstr>City 19</vt:lpstr>
      <vt:lpstr>City 20</vt:lpstr>
      <vt:lpstr>City 21</vt:lpstr>
      <vt:lpstr>City 22</vt:lpstr>
      <vt:lpstr>City 23</vt:lpstr>
      <vt:lpstr>City 24</vt:lpstr>
      <vt:lpstr>City 25</vt:lpstr>
      <vt:lpstr>Army 1</vt:lpstr>
      <vt:lpstr>Army 2</vt:lpstr>
      <vt:lpstr>Army 3</vt:lpstr>
      <vt:lpstr>Army 4</vt:lpstr>
      <vt:lpstr>Army 5</vt:lpstr>
      <vt:lpstr>Army 6</vt:lpstr>
      <vt:lpstr>Army 7</vt:lpstr>
      <vt:lpstr>Army 8</vt:lpstr>
      <vt:lpstr>Army 9</vt:lpstr>
      <vt:lpstr>City Map 5</vt:lpstr>
      <vt:lpstr>City Map Template</vt:lpstr>
      <vt:lpstr>Event Generator (OLD)</vt:lpstr>
      <vt:lpstr>Weather Generator</vt:lpstr>
      <vt:lpstr>Instructions (Draft)</vt:lpstr>
      <vt:lpstr>Version</vt:lpstr>
      <vt:lpstr>Abilities</vt:lpstr>
      <vt:lpstr>Active</vt:lpstr>
      <vt:lpstr>AL</vt:lpstr>
      <vt:lpstr>Alignment</vt:lpstr>
      <vt:lpstr>Attributes</vt:lpstr>
      <vt:lpstr>CHA</vt:lpstr>
      <vt:lpstr>CR</vt:lpstr>
      <vt:lpstr>Events</vt:lpstr>
      <vt:lpstr>Festivals</vt:lpstr>
      <vt:lpstr>HD</vt:lpstr>
      <vt:lpstr>Months_Year</vt:lpstr>
      <vt:lpstr>Morale</vt:lpstr>
      <vt:lpstr>'Army Summary'!Print_Area</vt:lpstr>
      <vt:lpstr>'City 1'!Print_Area</vt:lpstr>
      <vt:lpstr>'City Map 1'!Print_Area</vt:lpstr>
      <vt:lpstr>'City Map 2'!Print_Area</vt:lpstr>
      <vt:lpstr>'City Map 3'!Print_Area</vt:lpstr>
      <vt:lpstr>'City Map 4'!Print_Area</vt:lpstr>
      <vt:lpstr>'City Map 5'!Print_Area</vt:lpstr>
      <vt:lpstr>'City Map Template'!Print_Area</vt:lpstr>
      <vt:lpstr>Promotion</vt:lpstr>
      <vt:lpstr>Resources</vt:lpstr>
      <vt:lpstr>Seasons</vt:lpstr>
      <vt:lpstr>Size</vt:lpstr>
      <vt:lpstr>Tactics</vt:lpstr>
      <vt:lpstr>Taxation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Kingmaker Kingdom Sheet</dc:title>
  <dc:subject>Management Tool</dc:subject>
  <dc:creator>Carlos Robledo Suarez</dc:creator>
  <cp:lastModifiedBy>Carlos Robledo Suarez</cp:lastModifiedBy>
  <cp:lastPrinted>2011-03-04T12:24:04Z</cp:lastPrinted>
  <dcterms:created xsi:type="dcterms:W3CDTF">2010-04-20T07:35:56Z</dcterms:created>
  <dcterms:modified xsi:type="dcterms:W3CDTF">2012-10-22T17:58:42Z</dcterms:modified>
</cp:coreProperties>
</file>